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_Cape_Evans_data\TOOLS&amp;Manuals\"/>
    </mc:Choice>
  </mc:AlternateContent>
  <xr:revisionPtr revIDLastSave="0" documentId="13_ncr:1_{E4AFE3AB-1432-4AF8-9E33-3C9E0A0E99F1}" xr6:coauthVersionLast="41" xr6:coauthVersionMax="41" xr10:uidLastSave="{00000000-0000-0000-0000-000000000000}"/>
  <bookViews>
    <workbookView xWindow="-28920" yWindow="-120" windowWidth="29040" windowHeight="15840" activeTab="2" xr2:uid="{00000000-000D-0000-FFFF-FFFF00000000}"/>
  </bookViews>
  <sheets>
    <sheet name="AisaKestrel10" sheetId="7" r:id="rId1"/>
    <sheet name="Photogrammetry" sheetId="12" r:id="rId2"/>
    <sheet name="Cameras_FOV_&amp;_resolution" sheetId="13" r:id="rId3"/>
    <sheet name="Survey_plan" sheetId="14" r:id="rId4"/>
    <sheet name="DOF_Calculator" sheetId="15" r:id="rId5"/>
    <sheet name="IceScan_AK10" sheetId="17" r:id="rId6"/>
    <sheet name="IceScan_MicroHy" sheetId="1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8" l="1"/>
  <c r="B13" i="18" l="1"/>
  <c r="B33" i="17" l="1"/>
  <c r="F4" i="7" l="1"/>
  <c r="B15" i="12"/>
  <c r="B14" i="12"/>
  <c r="F11" i="13"/>
  <c r="C11" i="13" s="1"/>
  <c r="B4" i="12" s="1"/>
  <c r="E11" i="13" l="1"/>
  <c r="B11" i="13" s="1"/>
  <c r="B5" i="12" s="1"/>
  <c r="D12" i="7" l="1"/>
  <c r="H16" i="7" s="1"/>
  <c r="B5" i="17" l="1"/>
  <c r="I16" i="17" s="1"/>
  <c r="B5" i="7"/>
  <c r="B13" i="17" l="1"/>
  <c r="B13" i="7"/>
  <c r="H8" i="15" l="1"/>
  <c r="F8" i="15" l="1"/>
  <c r="I14" i="18" l="1"/>
  <c r="K14" i="18" s="1"/>
  <c r="I14" i="17"/>
  <c r="J14" i="17" l="1"/>
  <c r="K16" i="17"/>
  <c r="J16" i="17"/>
  <c r="J14" i="18"/>
  <c r="L14" i="18" s="1"/>
  <c r="K14" i="17"/>
  <c r="E4" i="15"/>
  <c r="G4" i="15" s="1"/>
  <c r="L16" i="17" l="1"/>
  <c r="L14" i="17"/>
  <c r="F4" i="15"/>
  <c r="H4" i="15" s="1"/>
  <c r="D26" i="17" l="1"/>
  <c r="B26" i="17"/>
  <c r="D25" i="17"/>
  <c r="B25" i="17"/>
  <c r="D24" i="17"/>
  <c r="B24" i="17"/>
  <c r="B28" i="17" s="1"/>
  <c r="B22" i="17"/>
  <c r="B21" i="17"/>
  <c r="B23" i="17" s="1"/>
  <c r="D18" i="17"/>
  <c r="D17" i="17"/>
  <c r="D16" i="17"/>
  <c r="D12" i="17"/>
  <c r="D11" i="17"/>
  <c r="B32" i="17" l="1"/>
  <c r="B34" i="17" s="1"/>
  <c r="D22" i="17"/>
  <c r="F22" i="17" s="1"/>
  <c r="D21" i="17"/>
  <c r="D23" i="17" s="1"/>
  <c r="F23" i="17" s="1"/>
  <c r="F21" i="17" l="1"/>
  <c r="D11" i="18"/>
  <c r="D12" i="18"/>
  <c r="D16" i="18"/>
  <c r="D17" i="18"/>
  <c r="D18" i="18"/>
  <c r="B21" i="18"/>
  <c r="B22" i="18"/>
  <c r="B23" i="18"/>
  <c r="B24" i="18"/>
  <c r="B28" i="18" s="1"/>
  <c r="D24" i="18"/>
  <c r="B25" i="18"/>
  <c r="D25" i="18"/>
  <c r="B26" i="18"/>
  <c r="D26" i="18"/>
  <c r="D21" i="18" l="1"/>
  <c r="F21" i="18" s="1"/>
  <c r="D22" i="18"/>
  <c r="F22" i="18" s="1"/>
  <c r="D26" i="7"/>
  <c r="D24" i="7"/>
  <c r="D25" i="7"/>
  <c r="D16" i="7"/>
  <c r="B25" i="7"/>
  <c r="D11" i="7"/>
  <c r="J27" i="7"/>
  <c r="I14" i="7"/>
  <c r="B24" i="7"/>
  <c r="D23" i="18" l="1"/>
  <c r="F23" i="18" s="1"/>
  <c r="K14" i="7"/>
  <c r="J14" i="7"/>
  <c r="L14" i="7" l="1"/>
  <c r="B28" i="7"/>
  <c r="I21" i="7"/>
  <c r="J21" i="7"/>
  <c r="B23" i="7" l="1"/>
  <c r="B22" i="7" l="1"/>
  <c r="D17" i="7" l="1"/>
  <c r="D22" i="7" s="1"/>
  <c r="D8" i="7" l="1"/>
  <c r="I16" i="7" s="1"/>
  <c r="D21" i="7"/>
  <c r="K16" i="7" l="1"/>
  <c r="J16" i="7"/>
  <c r="D23" i="7"/>
  <c r="F23" i="7" s="1"/>
  <c r="F22" i="7"/>
  <c r="F21" i="7"/>
  <c r="C25" i="14"/>
  <c r="C21" i="14"/>
  <c r="C20" i="14"/>
  <c r="H16" i="14"/>
  <c r="C16" i="14"/>
  <c r="H15" i="14"/>
  <c r="C15" i="14"/>
  <c r="C5" i="14"/>
  <c r="C11" i="14" s="1"/>
  <c r="D11" i="14" s="1"/>
  <c r="E11" i="14" s="1"/>
  <c r="L16" i="7" l="1"/>
  <c r="B16" i="14"/>
  <c r="E16" i="14" s="1"/>
  <c r="F16" i="14" s="1"/>
  <c r="G16" i="14" s="1"/>
  <c r="F11" i="14"/>
  <c r="C10" i="14"/>
  <c r="D10" i="14" s="1"/>
  <c r="E10" i="14" s="1"/>
  <c r="E5" i="14"/>
  <c r="F10" i="14" l="1"/>
  <c r="B15" i="14"/>
  <c r="E15" i="14" s="1"/>
  <c r="D21" i="14"/>
  <c r="F15" i="14" l="1"/>
  <c r="G15" i="14" s="1"/>
  <c r="D20" i="14"/>
  <c r="E29" i="14" s="1"/>
  <c r="F29" i="14"/>
  <c r="D25" i="14"/>
  <c r="E21" i="14"/>
  <c r="G29" i="14" l="1"/>
  <c r="H29" i="14" s="1"/>
  <c r="D18" i="7" l="1"/>
  <c r="C9" i="13" l="1"/>
  <c r="B9" i="13"/>
  <c r="C5" i="13"/>
  <c r="C4" i="12" s="1"/>
  <c r="C11" i="12" s="1"/>
  <c r="B5" i="13"/>
  <c r="C5" i="12" s="1"/>
  <c r="C10" i="12" s="1"/>
  <c r="C4" i="13"/>
  <c r="B4" i="13"/>
  <c r="C3" i="13"/>
  <c r="B3" i="13"/>
  <c r="B29" i="12"/>
  <c r="B30" i="12" s="1"/>
  <c r="B31" i="12" s="1"/>
  <c r="B10" i="12" l="1"/>
  <c r="B16" i="12" s="1"/>
  <c r="B17" i="12" s="1"/>
  <c r="C16" i="12"/>
  <c r="C17" i="12" s="1"/>
  <c r="C12" i="12"/>
  <c r="C22" i="12" s="1"/>
  <c r="C23" i="12" s="1"/>
  <c r="C24" i="12" s="1"/>
  <c r="C25" i="12" s="1"/>
  <c r="C13" i="12"/>
  <c r="C18" i="12"/>
  <c r="C19" i="12" s="1"/>
  <c r="B11" i="12"/>
  <c r="B13" i="12" s="1"/>
  <c r="B12" i="12" l="1"/>
  <c r="B22" i="12" s="1"/>
  <c r="B23" i="12" s="1"/>
  <c r="B24" i="12" s="1"/>
  <c r="B25" i="12" s="1"/>
  <c r="B18" i="12"/>
  <c r="B19" i="12" s="1"/>
  <c r="B21" i="7" l="1"/>
  <c r="B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Emiliano Cimoli</author>
  </authors>
  <commentList>
    <comment ref="D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&lt;= Ws in water to ensure overlap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Emiliano Cimoli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The amount of overlap you want to ensure good photo stitching. Range: 0.0-1.0</t>
        </r>
      </text>
    </comment>
    <comment ref="C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Horizontal distance captured on ice</t>
        </r>
      </text>
    </comment>
    <comment ref="C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Vertical distance captured on ice</t>
        </r>
      </text>
    </comment>
    <comment ref="A1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GSD - the effective distance on the ground from the center of one pixel to the next</t>
        </r>
      </text>
    </comment>
    <comment ref="B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Vertical and horizonal should be the same, I have these formulas just to double check.</t>
        </r>
      </text>
    </comment>
    <comment ref="B2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Other variables will affect how quickly you should move in a survey (number of unusuable, blurry images, etc)</t>
        </r>
      </text>
    </comment>
    <comment ref="B2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Calculations just to give a general sense of the absolute maximum speed under perfect conditions and precise survey methods</t>
        </r>
      </text>
    </comment>
    <comment ref="B2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5 Kph is average walking speed</t>
        </r>
      </text>
    </comment>
    <comment ref="B2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Emiliano Cimoli:</t>
        </r>
        <r>
          <rPr>
            <sz val="9"/>
            <color indexed="81"/>
            <rFont val="Tahoma"/>
            <family val="2"/>
          </rPr>
          <t xml:space="preserve">
3 Mph is average walking speed</t>
        </r>
      </text>
    </comment>
    <comment ref="A31" authorId="0" shapeId="0" xr:uid="{00000000-0006-0000-0100-00000A000000}">
      <text>
        <r>
          <rPr>
            <b/>
            <sz val="9"/>
            <color indexed="81"/>
            <rFont val="Tahoma"/>
            <charset val="1"/>
          </rPr>
          <t>Emiliano Cimoli:</t>
        </r>
        <r>
          <rPr>
            <sz val="9"/>
            <color indexed="81"/>
            <rFont val="Tahoma"/>
            <charset val="1"/>
          </rPr>
          <t xml:space="preserve">
Does not account for battery life!</t>
        </r>
      </text>
    </comment>
  </commentList>
</comments>
</file>

<file path=xl/sharedStrings.xml><?xml version="1.0" encoding="utf-8"?>
<sst xmlns="http://schemas.openxmlformats.org/spreadsheetml/2006/main" count="394" uniqueCount="219">
  <si>
    <t>S</t>
  </si>
  <si>
    <t>F</t>
  </si>
  <si>
    <t>entrance slit [um]</t>
  </si>
  <si>
    <t>focal length [mm]</t>
  </si>
  <si>
    <t>P</t>
  </si>
  <si>
    <t>pixel size [um]</t>
  </si>
  <si>
    <t>Bh</t>
  </si>
  <si>
    <t>V</t>
  </si>
  <si>
    <t>R</t>
  </si>
  <si>
    <t>H</t>
  </si>
  <si>
    <t>Ws</t>
  </si>
  <si>
    <t>Gh</t>
  </si>
  <si>
    <t>Gv</t>
  </si>
  <si>
    <t>Line width on the ground in along-track direction [m]</t>
  </si>
  <si>
    <t>Ground pixel size in across-track direction [m]</t>
  </si>
  <si>
    <t>nlines</t>
  </si>
  <si>
    <t>FOV across track [deg]</t>
  </si>
  <si>
    <t>Vsq</t>
  </si>
  <si>
    <t>Vmax</t>
  </si>
  <si>
    <t>Sw</t>
  </si>
  <si>
    <t>Hyperspectral image acquisition parameters</t>
  </si>
  <si>
    <t>Calculated image properties</t>
  </si>
  <si>
    <t>user input</t>
  </si>
  <si>
    <t>bold</t>
  </si>
  <si>
    <t>important</t>
  </si>
  <si>
    <t>Kestrel</t>
  </si>
  <si>
    <t>Along Track distance covered (m)</t>
  </si>
  <si>
    <t>Camera FOV-V</t>
  </si>
  <si>
    <t>See FOV and Resolution sheet</t>
  </si>
  <si>
    <t>Camera FOV-H</t>
  </si>
  <si>
    <t>Altitude (m)</t>
  </si>
  <si>
    <t>Interval (seconds)</t>
  </si>
  <si>
    <t>overlap ratio</t>
  </si>
  <si>
    <t>H coverage (m)</t>
  </si>
  <si>
    <t>V coverage (m)</t>
  </si>
  <si>
    <t>H coverage overlap (m)</t>
  </si>
  <si>
    <t>V coverage overlap (m)</t>
  </si>
  <si>
    <t>H pixels</t>
  </si>
  <si>
    <t>V pixels</t>
  </si>
  <si>
    <t>GSD - horiz (m)</t>
  </si>
  <si>
    <t>GSD - horiz (cm)</t>
  </si>
  <si>
    <t>GSD - vert (m)</t>
  </si>
  <si>
    <t>GSD - vert (cm)</t>
  </si>
  <si>
    <t>Maximum Ground Speed</t>
  </si>
  <si>
    <t>To ensure complete image coverage of survey area</t>
  </si>
  <si>
    <t>Ground speed - max (m/s)</t>
  </si>
  <si>
    <t>Ground speed - max (m/min)</t>
  </si>
  <si>
    <t>Kph</t>
  </si>
  <si>
    <t>Mph</t>
  </si>
  <si>
    <t>Maximum Flight Time</t>
  </si>
  <si>
    <t>Average image KB</t>
  </si>
  <si>
    <t>Memory capacity KB</t>
  </si>
  <si>
    <t>Image capacity</t>
  </si>
  <si>
    <t>Max flight duration (minutes)</t>
  </si>
  <si>
    <t>Camera</t>
  </si>
  <si>
    <t>FOV (horiz)*</t>
  </si>
  <si>
    <t>FOV (vert)*</t>
  </si>
  <si>
    <t>focal length (mm)</t>
  </si>
  <si>
    <t>CCD-width (mm)</t>
  </si>
  <si>
    <t>CCD-height (mm)</t>
  </si>
  <si>
    <t>avg image KB</t>
  </si>
  <si>
    <t>Sources</t>
  </si>
  <si>
    <t>Only edit red cells. Yellow cells are results. Grey cells are intermediate results.</t>
  </si>
  <si>
    <t>Determine Flying Height</t>
  </si>
  <si>
    <t>Focal Length (mm)</t>
  </si>
  <si>
    <t>focal length (m)</t>
  </si>
  <si>
    <t>avg flying height  (m)</t>
  </si>
  <si>
    <t>avg scale of photos: 1/</t>
  </si>
  <si>
    <t>Angle of View Calc</t>
  </si>
  <si>
    <t>angle of view</t>
  </si>
  <si>
    <t>dimension of sensor (mm)</t>
  </si>
  <si>
    <t>focal length of lens (mm)</t>
  </si>
  <si>
    <t>d/2f</t>
  </si>
  <si>
    <t>radians</t>
  </si>
  <si>
    <t>degrees</t>
  </si>
  <si>
    <t>horizontal</t>
  </si>
  <si>
    <t>vertical</t>
  </si>
  <si>
    <t>Ground Coverage per image and pixel</t>
  </si>
  <si>
    <t>angle of view (radians)</t>
  </si>
  <si>
    <t>flying height (m)</t>
  </si>
  <si>
    <t>image ground coverage (m)</t>
  </si>
  <si>
    <t>pixel ground coverage (cm)</t>
  </si>
  <si>
    <t>pixel ground coverage (mm)</t>
  </si>
  <si>
    <t>actual pixel size (microns)</t>
  </si>
  <si>
    <t>Calculate Distance between Image Centers</t>
  </si>
  <si>
    <t>desired overlap percentage</t>
  </si>
  <si>
    <t>percent advancement needed</t>
  </si>
  <si>
    <t>distance between image centers (m)</t>
  </si>
  <si>
    <t>base/height ratio: 1/</t>
  </si>
  <si>
    <t>Calculate Seconds between Exposures</t>
  </si>
  <si>
    <t>rate of speed (mph)</t>
  </si>
  <si>
    <t>rate of speed (kph)</t>
  </si>
  <si>
    <t>seconds between exposures</t>
  </si>
  <si>
    <t>Other</t>
  </si>
  <si>
    <t>length of survey area (km)</t>
  </si>
  <si>
    <t>width of survey area (km)</t>
  </si>
  <si>
    <t>estimated size per image (mb)</t>
  </si>
  <si>
    <t>estimated number of passes (length wise)</t>
  </si>
  <si>
    <t>estimated number of passes (width wise)</t>
  </si>
  <si>
    <t>estimated number of images</t>
  </si>
  <si>
    <t>total size of digital files (gb)</t>
  </si>
  <si>
    <t>focal (mm)</t>
  </si>
  <si>
    <t>aperture (f)</t>
  </si>
  <si>
    <t>distance (m)</t>
  </si>
  <si>
    <t>hyperfocal (m)</t>
  </si>
  <si>
    <t>near (m)</t>
  </si>
  <si>
    <t>far (m)</t>
  </si>
  <si>
    <t>total (m)</t>
  </si>
  <si>
    <t>format</t>
  </si>
  <si>
    <t>Sliding height [m] - AGL</t>
  </si>
  <si>
    <t>In Water</t>
  </si>
  <si>
    <t>In Air</t>
  </si>
  <si>
    <t>dimension of sensor (pixels)</t>
  </si>
  <si>
    <t>Sony a6300</t>
  </si>
  <si>
    <t>Olympus TG4</t>
  </si>
  <si>
    <t>n (seawater)</t>
  </si>
  <si>
    <t>Width of scan strip [m]</t>
  </si>
  <si>
    <t>n'(acrylic glass)</t>
  </si>
  <si>
    <t>V.FOV deg</t>
  </si>
  <si>
    <t>H.FOV deg</t>
  </si>
  <si>
    <t>Diag. FOV deg</t>
  </si>
  <si>
    <t>4 x 3 W</t>
  </si>
  <si>
    <t>4 x 3 M</t>
  </si>
  <si>
    <t>4 x 3 N</t>
  </si>
  <si>
    <t>16 x 9 W</t>
  </si>
  <si>
    <t>16 x 9 M</t>
  </si>
  <si>
    <t>16 x 9 N</t>
  </si>
  <si>
    <t>Wide FOV</t>
  </si>
  <si>
    <t>Medium FOV</t>
  </si>
  <si>
    <t xml:space="preserve">
</t>
  </si>
  <si>
    <t xml:space="preserve">Narrow FOV </t>
  </si>
  <si>
    <t>n' (acrylic glass)</t>
  </si>
  <si>
    <t>[cm]</t>
  </si>
  <si>
    <t>Velocity [cm/s]</t>
  </si>
  <si>
    <t>Sliding height [cm]</t>
  </si>
  <si>
    <t>Integration time in [ms]</t>
  </si>
  <si>
    <t>Sledge velocity [km/h] - ice speed</t>
  </si>
  <si>
    <t xml:space="preserve"> [deg]</t>
  </si>
  <si>
    <t>[cm]*</t>
  </si>
  <si>
    <t>25 to 100mm eq.</t>
  </si>
  <si>
    <t>N of pixels</t>
  </si>
  <si>
    <t>Np</t>
  </si>
  <si>
    <t>[m]</t>
  </si>
  <si>
    <t>[m]*</t>
  </si>
  <si>
    <t>4.5 to 18.0mm</t>
  </si>
  <si>
    <t>Ground pixel size in along-track direction [m]</t>
  </si>
  <si>
    <t>TriOS Ramses ARC (Rad)</t>
  </si>
  <si>
    <t>Difraction index</t>
  </si>
  <si>
    <t>Kestrel10_nobin</t>
  </si>
  <si>
    <t>* Without accounting for radial distortion</t>
  </si>
  <si>
    <t>FOV (deg)</t>
  </si>
  <si>
    <t>horizontal (spatial) binning factor</t>
  </si>
  <si>
    <t>Number of scan lines acquired (post-survey information)</t>
  </si>
  <si>
    <t>CoC</t>
  </si>
  <si>
    <t>n/a</t>
  </si>
  <si>
    <t>Normal</t>
  </si>
  <si>
    <t>Nikon D500</t>
  </si>
  <si>
    <t>GoPro Hero 5</t>
  </si>
  <si>
    <t>Rail speed for square pixels [km/h]</t>
  </si>
  <si>
    <t>Micro_Hyperspec</t>
  </si>
  <si>
    <t>f</t>
  </si>
  <si>
    <t>aperture</t>
  </si>
  <si>
    <t>circle of confusion</t>
  </si>
  <si>
    <t>Depth of field (DoF)</t>
  </si>
  <si>
    <t>Sled and camera variables</t>
  </si>
  <si>
    <t>see below</t>
  </si>
  <si>
    <t>FOVv</t>
  </si>
  <si>
    <t>FOVh</t>
  </si>
  <si>
    <t>FOV along track [deg]</t>
  </si>
  <si>
    <t>[cm/s]</t>
  </si>
  <si>
    <t xml:space="preserve">Frame rate [fps]  [Hz]  </t>
  </si>
  <si>
    <t>Maximum ground speed [km/h] Gv &lt;= Ws to ensure overlap</t>
  </si>
  <si>
    <t>&lt;= Ws in water to ensure overlap</t>
  </si>
  <si>
    <t>Ice score scanning with the Micro hyperspec</t>
  </si>
  <si>
    <t>d</t>
  </si>
  <si>
    <t>Along Track distance covered [m]</t>
  </si>
  <si>
    <t>Ice score scanning with the Aisa Kestrel 10</t>
  </si>
  <si>
    <t>In water bath</t>
  </si>
  <si>
    <t>Under-ice TIE-Fighter</t>
  </si>
  <si>
    <t xml:space="preserve">Sledge velocity [km/h] </t>
  </si>
  <si>
    <t>height (m)</t>
  </si>
  <si>
    <t>diameter (m)</t>
  </si>
  <si>
    <t>px-vert</t>
  </si>
  <si>
    <t>px-horiz</t>
  </si>
  <si>
    <t>Micro hyperspec</t>
  </si>
  <si>
    <t>Photogrammetric survey plan</t>
  </si>
  <si>
    <t>Integration time [ms]</t>
  </si>
  <si>
    <t xml:space="preserve">In air </t>
  </si>
  <si>
    <t xml:space="preserve">In water </t>
  </si>
  <si>
    <t>focus distance (m)</t>
  </si>
  <si>
    <t>`</t>
  </si>
  <si>
    <t>FOV option</t>
  </si>
  <si>
    <t>Focal lnegth (mm)</t>
  </si>
  <si>
    <t>Low-Light HD USB Cam</t>
  </si>
  <si>
    <t>Nikon D850</t>
  </si>
  <si>
    <t>Ice section properties</t>
  </si>
  <si>
    <t>srf</t>
  </si>
  <si>
    <t>pix</t>
  </si>
  <si>
    <t>across direction surface length [cm]</t>
  </si>
  <si>
    <t>Effective aperture</t>
  </si>
  <si>
    <t>total (mm)</t>
  </si>
  <si>
    <t>circle of confusion [mm]</t>
  </si>
  <si>
    <t>CoC (mm)</t>
  </si>
  <si>
    <t>Sliding height [m] - AGL (from entrance pupil location)</t>
  </si>
  <si>
    <t>Magnification</t>
  </si>
  <si>
    <t>number of ice pixels used per line scan</t>
  </si>
  <si>
    <t>Object distance (mm)</t>
  </si>
  <si>
    <t>Macro (only for 1:1 Tamron)</t>
  </si>
  <si>
    <t>STS-VIS (Rad, open fiber)</t>
  </si>
  <si>
    <t>Sliding height [m] - (from entrance pupil location)</t>
  </si>
  <si>
    <t>Rail velocity [km/h]</t>
  </si>
  <si>
    <t>Underwater</t>
  </si>
  <si>
    <t>In air</t>
  </si>
  <si>
    <t>[mm]</t>
  </si>
  <si>
    <t>Underwater DoF</t>
  </si>
  <si>
    <t>Pixel size</t>
  </si>
  <si>
    <t>MV Teledyne Nano</t>
  </si>
  <si>
    <t>n(air)</t>
  </si>
  <si>
    <t>Pika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</si>
</sst>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000"/>
    <numFmt numFmtId="166" formatCode="0.0"/>
    <numFmt numFmtId="167" formatCode="0.000000"/>
    <numFmt numFmtId="168" formatCode="#,##0.0"/>
    <numFmt numFmtId="169" formatCode="0.0%"/>
    <numFmt numFmtId="170" formatCode="0.0000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rgb="FF006100"/>
      <name val="Calibri"/>
      <family val="2"/>
    </font>
    <font>
      <b/>
      <sz val="10"/>
      <color rgb="FF999999"/>
      <name val="Calibri"/>
      <family val="2"/>
    </font>
    <font>
      <sz val="10"/>
      <color rgb="FF9C6500"/>
      <name val="Calibri"/>
      <family val="2"/>
    </font>
    <font>
      <sz val="10"/>
      <color rgb="FF0B5394"/>
      <name val="Calibri"/>
      <family val="2"/>
    </font>
    <font>
      <sz val="10"/>
      <color rgb="FF999999"/>
      <name val="Calibri"/>
      <family val="2"/>
    </font>
    <font>
      <sz val="10"/>
      <color rgb="FF0B539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sz val="10"/>
      <color rgb="FF0061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ourier New"/>
      <family val="3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b/>
      <sz val="12"/>
      <name val="Courier New"/>
      <family val="3"/>
    </font>
    <font>
      <b/>
      <sz val="16"/>
      <name val="Courier New"/>
      <family val="3"/>
    </font>
    <font>
      <b/>
      <sz val="10"/>
      <name val="Courier New"/>
      <family val="3"/>
    </font>
    <font>
      <sz val="10"/>
      <name val="Courier New"/>
      <family val="3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b/>
      <sz val="11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ourier New"/>
      <family val="3"/>
    </font>
    <font>
      <sz val="10"/>
      <color theme="1"/>
      <name val="Calibri"/>
      <family val="2"/>
      <scheme val="minor"/>
    </font>
    <font>
      <sz val="10"/>
      <color rgb="FF333333"/>
      <name val="Courier New"/>
      <family val="3"/>
    </font>
    <font>
      <b/>
      <sz val="10"/>
      <color rgb="FF292D35"/>
      <name val="Courier New"/>
      <family val="3"/>
    </font>
    <font>
      <b/>
      <sz val="9"/>
      <name val="Courier New"/>
      <family val="3"/>
    </font>
    <font>
      <sz val="9"/>
      <name val="Courier New"/>
      <family val="3"/>
    </font>
    <font>
      <sz val="11"/>
      <name val="Courier New"/>
      <family val="3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0F0FF"/>
        <bgColor indexed="64"/>
      </patternFill>
    </fill>
    <fill>
      <patternFill patternType="solid">
        <fgColor rgb="FFDDFAD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E06666"/>
      </bottom>
      <diagonal/>
    </border>
    <border>
      <left/>
      <right style="thin">
        <color rgb="FFE06666"/>
      </right>
      <top/>
      <bottom/>
      <diagonal/>
    </border>
    <border>
      <left style="thin">
        <color rgb="FFE06666"/>
      </left>
      <right style="thin">
        <color rgb="FFE06666"/>
      </right>
      <top style="thin">
        <color rgb="FFE06666"/>
      </top>
      <bottom style="thin">
        <color rgb="FFE06666"/>
      </bottom>
      <diagonal/>
    </border>
    <border>
      <left style="thin">
        <color rgb="FFE06666"/>
      </left>
      <right style="thin">
        <color rgb="FFE06666"/>
      </right>
      <top/>
      <bottom/>
      <diagonal/>
    </border>
    <border>
      <left style="thin">
        <color rgb="FFE06666"/>
      </left>
      <right/>
      <top/>
      <bottom/>
      <diagonal/>
    </border>
    <border>
      <left/>
      <right/>
      <top style="thin">
        <color rgb="FFE06666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3" fillId="0" borderId="0"/>
  </cellStyleXfs>
  <cellXfs count="18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ill="1"/>
    <xf numFmtId="0" fontId="2" fillId="0" borderId="0" xfId="1"/>
    <xf numFmtId="0" fontId="3" fillId="0" borderId="0" xfId="2" applyAlignment="1">
      <alignment wrapText="1"/>
    </xf>
    <xf numFmtId="0" fontId="3" fillId="0" borderId="0" xfId="2" applyAlignment="1">
      <alignment horizontal="center" wrapText="1"/>
    </xf>
    <xf numFmtId="0" fontId="5" fillId="9" borderId="0" xfId="2" applyFont="1" applyFill="1" applyAlignment="1">
      <alignment horizontal="center"/>
    </xf>
    <xf numFmtId="0" fontId="6" fillId="0" borderId="0" xfId="2" applyFont="1" applyAlignment="1">
      <alignment horizontal="center"/>
    </xf>
    <xf numFmtId="0" fontId="7" fillId="10" borderId="3" xfId="2" applyFont="1" applyFill="1" applyBorder="1" applyAlignment="1">
      <alignment horizontal="center" vertical="center" wrapText="1"/>
    </xf>
    <xf numFmtId="0" fontId="8" fillId="11" borderId="0" xfId="2" applyFont="1" applyFill="1" applyAlignment="1">
      <alignment horizontal="center" vertical="center" wrapText="1"/>
    </xf>
    <xf numFmtId="0" fontId="9" fillId="12" borderId="0" xfId="2" applyFont="1" applyFill="1" applyAlignment="1">
      <alignment horizontal="center" vertical="center" wrapText="1"/>
    </xf>
    <xf numFmtId="0" fontId="6" fillId="0" borderId="0" xfId="2" applyFont="1"/>
    <xf numFmtId="0" fontId="3" fillId="0" borderId="4" xfId="2" applyBorder="1" applyAlignment="1">
      <alignment wrapText="1"/>
    </xf>
    <xf numFmtId="0" fontId="10" fillId="13" borderId="5" xfId="2" applyFont="1" applyFill="1" applyBorder="1"/>
    <xf numFmtId="0" fontId="11" fillId="0" borderId="6" xfId="2" applyFont="1" applyBorder="1"/>
    <xf numFmtId="3" fontId="10" fillId="14" borderId="7" xfId="2" applyNumberFormat="1" applyFont="1" applyFill="1" applyBorder="1"/>
    <xf numFmtId="0" fontId="11" fillId="0" borderId="0" xfId="2" applyFont="1" applyAlignment="1">
      <alignment horizontal="center"/>
    </xf>
    <xf numFmtId="0" fontId="3" fillId="0" borderId="8" xfId="2" applyBorder="1" applyAlignment="1">
      <alignment wrapText="1"/>
    </xf>
    <xf numFmtId="0" fontId="9" fillId="12" borderId="0" xfId="2" applyFont="1" applyFill="1" applyAlignment="1">
      <alignment horizontal="center"/>
    </xf>
    <xf numFmtId="0" fontId="6" fillId="0" borderId="4" xfId="2" applyFont="1" applyBorder="1" applyAlignment="1">
      <alignment horizontal="right"/>
    </xf>
    <xf numFmtId="0" fontId="11" fillId="0" borderId="7" xfId="2" applyFont="1" applyBorder="1"/>
    <xf numFmtId="0" fontId="11" fillId="0" borderId="0" xfId="2" applyFont="1"/>
    <xf numFmtId="0" fontId="11" fillId="15" borderId="0" xfId="2" applyFont="1" applyFill="1"/>
    <xf numFmtId="166" fontId="10" fillId="14" borderId="0" xfId="2" applyNumberFormat="1" applyFont="1" applyFill="1"/>
    <xf numFmtId="0" fontId="6" fillId="0" borderId="0" xfId="2" applyFont="1" applyAlignment="1">
      <alignment horizontal="right"/>
    </xf>
    <xf numFmtId="167" fontId="11" fillId="0" borderId="0" xfId="2" applyNumberFormat="1" applyFont="1"/>
    <xf numFmtId="0" fontId="11" fillId="0" borderId="4" xfId="2" applyFont="1" applyBorder="1"/>
    <xf numFmtId="168" fontId="10" fillId="14" borderId="7" xfId="2" applyNumberFormat="1" applyFont="1" applyFill="1" applyBorder="1"/>
    <xf numFmtId="168" fontId="10" fillId="14" borderId="0" xfId="2" applyNumberFormat="1" applyFont="1" applyFill="1"/>
    <xf numFmtId="2" fontId="10" fillId="14" borderId="0" xfId="2" applyNumberFormat="1" applyFont="1" applyFill="1"/>
    <xf numFmtId="169" fontId="10" fillId="13" borderId="5" xfId="2" applyNumberFormat="1" applyFont="1" applyFill="1" applyBorder="1"/>
    <xf numFmtId="169" fontId="10" fillId="14" borderId="7" xfId="2" applyNumberFormat="1" applyFont="1" applyFill="1" applyBorder="1"/>
    <xf numFmtId="0" fontId="12" fillId="14" borderId="0" xfId="2" applyFont="1" applyFill="1" applyAlignment="1">
      <alignment wrapText="1"/>
    </xf>
    <xf numFmtId="168" fontId="10" fillId="13" borderId="5" xfId="2" applyNumberFormat="1" applyFont="1" applyFill="1" applyBorder="1"/>
    <xf numFmtId="1" fontId="10" fillId="14" borderId="7" xfId="2" applyNumberFormat="1" applyFont="1" applyFill="1" applyBorder="1"/>
    <xf numFmtId="1" fontId="10" fillId="14" borderId="0" xfId="2" applyNumberFormat="1" applyFont="1" applyFill="1"/>
    <xf numFmtId="0" fontId="15" fillId="0" borderId="0" xfId="3" applyFont="1" applyAlignment="1" applyProtection="1">
      <alignment horizontal="center"/>
    </xf>
    <xf numFmtId="0" fontId="13" fillId="0" borderId="0" xfId="3" applyProtection="1"/>
    <xf numFmtId="0" fontId="15" fillId="0" borderId="0" xfId="3" applyFont="1" applyProtection="1"/>
    <xf numFmtId="1" fontId="13" fillId="0" borderId="0" xfId="3" applyNumberFormat="1" applyProtection="1"/>
    <xf numFmtId="166" fontId="13" fillId="0" borderId="0" xfId="3" applyNumberFormat="1" applyProtection="1"/>
    <xf numFmtId="2" fontId="13" fillId="0" borderId="0" xfId="3" applyNumberFormat="1" applyProtection="1"/>
    <xf numFmtId="0" fontId="17" fillId="10" borderId="3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3" applyFont="1" applyFill="1" applyBorder="1" applyAlignment="1" applyProtection="1">
      <alignment horizontal="center" vertical="center"/>
    </xf>
    <xf numFmtId="164" fontId="16" fillId="0" borderId="0" xfId="3" applyNumberFormat="1" applyFont="1" applyFill="1" applyBorder="1" applyAlignment="1" applyProtection="1">
      <alignment horizontal="center" vertical="center"/>
    </xf>
    <xf numFmtId="2" fontId="13" fillId="0" borderId="0" xfId="3" applyNumberFormat="1" applyFill="1" applyBorder="1" applyProtection="1"/>
    <xf numFmtId="1" fontId="13" fillId="0" borderId="0" xfId="3" applyNumberFormat="1" applyFill="1" applyBorder="1" applyProtection="1"/>
    <xf numFmtId="0" fontId="20" fillId="0" borderId="0" xfId="0" applyFont="1"/>
    <xf numFmtId="0" fontId="21" fillId="0" borderId="0" xfId="0" applyFont="1"/>
    <xf numFmtId="15" fontId="22" fillId="0" borderId="0" xfId="0" applyNumberFormat="1" applyFont="1"/>
    <xf numFmtId="0" fontId="21" fillId="2" borderId="1" xfId="0" applyFont="1" applyFill="1" applyBorder="1"/>
    <xf numFmtId="0" fontId="22" fillId="0" borderId="1" xfId="0" applyFont="1" applyBorder="1"/>
    <xf numFmtId="0" fontId="22" fillId="24" borderId="1" xfId="0" applyFont="1" applyFill="1" applyBorder="1"/>
    <xf numFmtId="0" fontId="21" fillId="24" borderId="1" xfId="0" applyFont="1" applyFill="1" applyBorder="1"/>
    <xf numFmtId="0" fontId="22" fillId="17" borderId="1" xfId="0" applyFont="1" applyFill="1" applyBorder="1"/>
    <xf numFmtId="0" fontId="21" fillId="17" borderId="1" xfId="0" applyFont="1" applyFill="1" applyBorder="1"/>
    <xf numFmtId="0" fontId="21" fillId="7" borderId="22" xfId="0" applyFont="1" applyFill="1" applyBorder="1"/>
    <xf numFmtId="0" fontId="23" fillId="0" borderId="0" xfId="3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0" fontId="21" fillId="0" borderId="0" xfId="0" applyFont="1" applyFill="1" applyBorder="1"/>
    <xf numFmtId="2" fontId="24" fillId="0" borderId="0" xfId="3" applyNumberFormat="1" applyFont="1" applyFill="1" applyBorder="1" applyAlignment="1" applyProtection="1">
      <alignment horizontal="center" vertical="center"/>
      <protection locked="0"/>
    </xf>
    <xf numFmtId="166" fontId="24" fillId="0" borderId="0" xfId="3" applyNumberFormat="1" applyFont="1" applyFill="1" applyBorder="1" applyAlignment="1" applyProtection="1">
      <alignment horizontal="center" vertical="center"/>
      <protection locked="0"/>
    </xf>
    <xf numFmtId="164" fontId="24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17" borderId="11" xfId="0" applyFont="1" applyFill="1" applyBorder="1"/>
    <xf numFmtId="1" fontId="25" fillId="23" borderId="1" xfId="3" applyNumberFormat="1" applyFont="1" applyFill="1" applyBorder="1" applyProtection="1"/>
    <xf numFmtId="166" fontId="26" fillId="23" borderId="1" xfId="3" applyNumberFormat="1" applyFont="1" applyFill="1" applyBorder="1" applyProtection="1"/>
    <xf numFmtId="2" fontId="26" fillId="23" borderId="1" xfId="3" applyNumberFormat="1" applyFont="1" applyFill="1" applyBorder="1" applyProtection="1"/>
    <xf numFmtId="0" fontId="22" fillId="4" borderId="1" xfId="0" applyFont="1" applyFill="1" applyBorder="1"/>
    <xf numFmtId="0" fontId="21" fillId="4" borderId="1" xfId="0" applyFont="1" applyFill="1" applyBorder="1"/>
    <xf numFmtId="0" fontId="22" fillId="2" borderId="1" xfId="0" applyFont="1" applyFill="1" applyBorder="1"/>
    <xf numFmtId="164" fontId="21" fillId="6" borderId="1" xfId="0" applyNumberFormat="1" applyFont="1" applyFill="1" applyBorder="1"/>
    <xf numFmtId="0" fontId="21" fillId="6" borderId="1" xfId="0" applyFont="1" applyFill="1" applyBorder="1"/>
    <xf numFmtId="1" fontId="22" fillId="2" borderId="1" xfId="0" applyNumberFormat="1" applyFont="1" applyFill="1" applyBorder="1"/>
    <xf numFmtId="0" fontId="21" fillId="6" borderId="10" xfId="0" applyFont="1" applyFill="1" applyBorder="1"/>
    <xf numFmtId="0" fontId="21" fillId="6" borderId="11" xfId="0" applyFont="1" applyFill="1" applyBorder="1"/>
    <xf numFmtId="0" fontId="22" fillId="22" borderId="1" xfId="0" applyFont="1" applyFill="1" applyBorder="1"/>
    <xf numFmtId="0" fontId="21" fillId="22" borderId="1" xfId="0" applyFont="1" applyFill="1" applyBorder="1"/>
    <xf numFmtId="0" fontId="22" fillId="5" borderId="1" xfId="0" applyFont="1" applyFill="1" applyBorder="1"/>
    <xf numFmtId="0" fontId="21" fillId="5" borderId="1" xfId="0" applyFont="1" applyFill="1" applyBorder="1"/>
    <xf numFmtId="164" fontId="22" fillId="5" borderId="1" xfId="0" applyNumberFormat="1" applyFont="1" applyFill="1" applyBorder="1"/>
    <xf numFmtId="165" fontId="22" fillId="17" borderId="1" xfId="0" applyNumberFormat="1" applyFont="1" applyFill="1" applyBorder="1"/>
    <xf numFmtId="170" fontId="21" fillId="17" borderId="1" xfId="0" applyNumberFormat="1" applyFont="1" applyFill="1" applyBorder="1"/>
    <xf numFmtId="165" fontId="21" fillId="5" borderId="1" xfId="0" applyNumberFormat="1" applyFont="1" applyFill="1" applyBorder="1"/>
    <xf numFmtId="165" fontId="22" fillId="5" borderId="1" xfId="0" applyNumberFormat="1" applyFont="1" applyFill="1" applyBorder="1"/>
    <xf numFmtId="165" fontId="21" fillId="17" borderId="1" xfId="0" applyNumberFormat="1" applyFont="1" applyFill="1" applyBorder="1"/>
    <xf numFmtId="0" fontId="21" fillId="3" borderId="1" xfId="0" applyFont="1" applyFill="1" applyBorder="1"/>
    <xf numFmtId="0" fontId="21" fillId="5" borderId="24" xfId="0" applyFont="1" applyFill="1" applyBorder="1"/>
    <xf numFmtId="0" fontId="28" fillId="0" borderId="0" xfId="0" applyFont="1"/>
    <xf numFmtId="0" fontId="27" fillId="0" borderId="1" xfId="0" applyFont="1" applyBorder="1"/>
    <xf numFmtId="0" fontId="28" fillId="3" borderId="1" xfId="0" applyFont="1" applyFill="1" applyBorder="1"/>
    <xf numFmtId="0" fontId="22" fillId="0" borderId="0" xfId="0" applyFont="1"/>
    <xf numFmtId="0" fontId="32" fillId="0" borderId="0" xfId="0" applyFont="1"/>
    <xf numFmtId="165" fontId="21" fillId="2" borderId="9" xfId="0" applyNumberFormat="1" applyFont="1" applyFill="1" applyBorder="1"/>
    <xf numFmtId="165" fontId="21" fillId="2" borderId="1" xfId="0" applyNumberFormat="1" applyFont="1" applyFill="1" applyBorder="1"/>
    <xf numFmtId="165" fontId="22" fillId="2" borderId="1" xfId="0" applyNumberFormat="1" applyFont="1" applyFill="1" applyBorder="1"/>
    <xf numFmtId="165" fontId="22" fillId="0" borderId="0" xfId="0" applyNumberFormat="1" applyFont="1" applyFill="1"/>
    <xf numFmtId="165" fontId="21" fillId="0" borderId="0" xfId="0" applyNumberFormat="1" applyFont="1" applyFill="1"/>
    <xf numFmtId="165" fontId="21" fillId="0" borderId="0" xfId="0" applyNumberFormat="1" applyFont="1"/>
    <xf numFmtId="165" fontId="21" fillId="3" borderId="1" xfId="0" applyNumberFormat="1" applyFont="1" applyFill="1" applyBorder="1"/>
    <xf numFmtId="165" fontId="21" fillId="18" borderId="1" xfId="0" applyNumberFormat="1" applyFont="1" applyFill="1" applyBorder="1"/>
    <xf numFmtId="165" fontId="22" fillId="0" borderId="0" xfId="0" applyNumberFormat="1" applyFont="1"/>
    <xf numFmtId="0" fontId="21" fillId="0" borderId="1" xfId="0" applyFont="1" applyBorder="1"/>
    <xf numFmtId="0" fontId="21" fillId="7" borderId="1" xfId="0" applyFont="1" applyFill="1" applyBorder="1"/>
    <xf numFmtId="0" fontId="28" fillId="0" borderId="1" xfId="0" applyFont="1" applyBorder="1"/>
    <xf numFmtId="0" fontId="33" fillId="0" borderId="0" xfId="0" applyFont="1"/>
    <xf numFmtId="0" fontId="28" fillId="7" borderId="1" xfId="0" applyFont="1" applyFill="1" applyBorder="1"/>
    <xf numFmtId="0" fontId="28" fillId="3" borderId="1" xfId="0" applyFont="1" applyFill="1" applyBorder="1" applyAlignment="1">
      <alignment horizontal="right"/>
    </xf>
    <xf numFmtId="0" fontId="28" fillId="7" borderId="1" xfId="0" applyFont="1" applyFill="1" applyBorder="1" applyAlignment="1">
      <alignment horizontal="right"/>
    </xf>
    <xf numFmtId="0" fontId="27" fillId="21" borderId="15" xfId="0" applyFont="1" applyFill="1" applyBorder="1"/>
    <xf numFmtId="0" fontId="34" fillId="19" borderId="13" xfId="0" applyFont="1" applyFill="1" applyBorder="1" applyAlignment="1">
      <alignment vertical="center" wrapText="1"/>
    </xf>
    <xf numFmtId="0" fontId="34" fillId="19" borderId="16" xfId="0" applyFont="1" applyFill="1" applyBorder="1" applyAlignment="1">
      <alignment vertical="center" wrapText="1"/>
    </xf>
    <xf numFmtId="0" fontId="34" fillId="20" borderId="14" xfId="0" applyFont="1" applyFill="1" applyBorder="1" applyAlignment="1">
      <alignment vertical="center" wrapText="1"/>
    </xf>
    <xf numFmtId="0" fontId="34" fillId="15" borderId="12" xfId="0" applyFont="1" applyFill="1" applyBorder="1" applyAlignment="1">
      <alignment horizontal="center" vertical="center" wrapText="1"/>
    </xf>
    <xf numFmtId="0" fontId="34" fillId="15" borderId="16" xfId="0" applyFont="1" applyFill="1" applyBorder="1" applyAlignment="1">
      <alignment horizontal="center" vertical="center" wrapText="1"/>
    </xf>
    <xf numFmtId="0" fontId="28" fillId="0" borderId="17" xfId="0" applyFont="1" applyBorder="1"/>
    <xf numFmtId="0" fontId="28" fillId="0" borderId="18" xfId="0" applyFont="1" applyBorder="1"/>
    <xf numFmtId="0" fontId="34" fillId="20" borderId="12" xfId="0" applyFont="1" applyFill="1" applyBorder="1" applyAlignment="1">
      <alignment vertical="center" wrapText="1"/>
    </xf>
    <xf numFmtId="0" fontId="28" fillId="0" borderId="19" xfId="0" applyFont="1" applyBorder="1"/>
    <xf numFmtId="0" fontId="28" fillId="0" borderId="20" xfId="0" applyFont="1" applyBorder="1"/>
    <xf numFmtId="0" fontId="35" fillId="0" borderId="0" xfId="0" applyFont="1"/>
    <xf numFmtId="0" fontId="37" fillId="0" borderId="0" xfId="3" applyFont="1" applyProtection="1"/>
    <xf numFmtId="0" fontId="21" fillId="24" borderId="9" xfId="0" applyFont="1" applyFill="1" applyBorder="1"/>
    <xf numFmtId="0" fontId="21" fillId="0" borderId="25" xfId="0" applyFont="1" applyFill="1" applyBorder="1"/>
    <xf numFmtId="0" fontId="22" fillId="0" borderId="26" xfId="0" applyFont="1" applyBorder="1"/>
    <xf numFmtId="0" fontId="21" fillId="0" borderId="27" xfId="0" applyFont="1" applyFill="1" applyBorder="1"/>
    <xf numFmtId="165" fontId="21" fillId="22" borderId="1" xfId="0" applyNumberFormat="1" applyFont="1" applyFill="1" applyBorder="1"/>
    <xf numFmtId="0" fontId="29" fillId="0" borderId="1" xfId="3" applyFont="1" applyFill="1" applyBorder="1" applyAlignment="1" applyProtection="1">
      <alignment horizontal="center" vertical="center"/>
    </xf>
    <xf numFmtId="164" fontId="23" fillId="16" borderId="1" xfId="3" applyNumberFormat="1" applyFont="1" applyFill="1" applyBorder="1" applyAlignment="1" applyProtection="1">
      <alignment horizontal="center" vertical="center"/>
    </xf>
    <xf numFmtId="0" fontId="34" fillId="15" borderId="28" xfId="0" applyFont="1" applyFill="1" applyBorder="1" applyAlignment="1">
      <alignment horizontal="center" vertical="center" wrapText="1"/>
    </xf>
    <xf numFmtId="0" fontId="28" fillId="0" borderId="29" xfId="0" applyFont="1" applyBorder="1"/>
    <xf numFmtId="0" fontId="28" fillId="0" borderId="30" xfId="0" applyFont="1" applyBorder="1"/>
    <xf numFmtId="0" fontId="34" fillId="19" borderId="22" xfId="0" applyFont="1" applyFill="1" applyBorder="1" applyAlignment="1">
      <alignment vertical="center" wrapText="1"/>
    </xf>
    <xf numFmtId="0" fontId="34" fillId="19" borderId="31" xfId="0" applyFont="1" applyFill="1" applyBorder="1" applyAlignment="1">
      <alignment vertical="center" wrapText="1"/>
    </xf>
    <xf numFmtId="0" fontId="34" fillId="19" borderId="23" xfId="0" applyFont="1" applyFill="1" applyBorder="1" applyAlignment="1">
      <alignment vertical="center" wrapText="1"/>
    </xf>
    <xf numFmtId="0" fontId="21" fillId="0" borderId="21" xfId="0" applyFont="1" applyBorder="1"/>
    <xf numFmtId="0" fontId="21" fillId="0" borderId="21" xfId="0" applyFont="1" applyFill="1" applyBorder="1"/>
    <xf numFmtId="0" fontId="21" fillId="7" borderId="23" xfId="0" applyFont="1" applyFill="1" applyBorder="1"/>
    <xf numFmtId="0" fontId="22" fillId="0" borderId="9" xfId="0" applyFont="1" applyBorder="1"/>
    <xf numFmtId="164" fontId="24" fillId="0" borderId="0" xfId="3" applyNumberFormat="1" applyFont="1" applyFill="1" applyBorder="1" applyAlignment="1" applyProtection="1">
      <alignment horizontal="center" vertical="center"/>
    </xf>
    <xf numFmtId="2" fontId="38" fillId="0" borderId="0" xfId="3" applyNumberFormat="1" applyFont="1" applyFill="1" applyBorder="1" applyProtection="1"/>
    <xf numFmtId="0" fontId="29" fillId="0" borderId="0" xfId="3" applyFont="1" applyFill="1" applyBorder="1" applyAlignment="1" applyProtection="1">
      <alignment horizontal="center" vertical="center"/>
    </xf>
    <xf numFmtId="164" fontId="29" fillId="0" borderId="0" xfId="3" applyNumberFormat="1" applyFont="1" applyFill="1" applyBorder="1" applyAlignment="1" applyProtection="1">
      <alignment horizontal="center" vertical="center"/>
    </xf>
    <xf numFmtId="2" fontId="29" fillId="0" borderId="0" xfId="3" applyNumberFormat="1" applyFont="1" applyFill="1" applyBorder="1" applyAlignment="1" applyProtection="1">
      <alignment horizontal="center" vertical="center"/>
      <protection locked="0"/>
    </xf>
    <xf numFmtId="166" fontId="29" fillId="0" borderId="0" xfId="3" applyNumberFormat="1" applyFont="1" applyFill="1" applyBorder="1" applyAlignment="1" applyProtection="1">
      <alignment horizontal="center" vertical="center"/>
      <protection locked="0"/>
    </xf>
    <xf numFmtId="164" fontId="29" fillId="0" borderId="0" xfId="3" applyNumberFormat="1" applyFont="1" applyFill="1" applyBorder="1" applyAlignment="1" applyProtection="1">
      <alignment horizontal="center" vertical="center"/>
      <protection locked="0"/>
    </xf>
    <xf numFmtId="1" fontId="26" fillId="0" borderId="0" xfId="3" applyNumberFormat="1" applyFont="1" applyFill="1" applyProtection="1"/>
    <xf numFmtId="2" fontId="26" fillId="0" borderId="0" xfId="3" applyNumberFormat="1" applyFont="1" applyFill="1" applyProtection="1"/>
    <xf numFmtId="164" fontId="21" fillId="0" borderId="1" xfId="0" applyNumberFormat="1" applyFont="1" applyBorder="1"/>
    <xf numFmtId="1" fontId="36" fillId="25" borderId="1" xfId="3" applyNumberFormat="1" applyFont="1" applyFill="1" applyBorder="1" applyProtection="1"/>
    <xf numFmtId="166" fontId="37" fillId="25" borderId="1" xfId="3" applyNumberFormat="1" applyFont="1" applyFill="1" applyBorder="1" applyProtection="1"/>
    <xf numFmtId="2" fontId="37" fillId="25" borderId="1" xfId="3" applyNumberFormat="1" applyFont="1" applyFill="1" applyBorder="1" applyProtection="1"/>
    <xf numFmtId="1" fontId="37" fillId="25" borderId="1" xfId="3" applyNumberFormat="1" applyFont="1" applyFill="1" applyBorder="1" applyProtection="1"/>
    <xf numFmtId="0" fontId="36" fillId="25" borderId="1" xfId="3" applyFont="1" applyFill="1" applyBorder="1" applyAlignment="1" applyProtection="1">
      <alignment horizontal="center" vertical="center"/>
    </xf>
    <xf numFmtId="1" fontId="36" fillId="25" borderId="1" xfId="3" applyNumberFormat="1" applyFont="1" applyFill="1" applyBorder="1" applyAlignment="1" applyProtection="1">
      <alignment horizontal="center" vertical="center"/>
      <protection locked="0"/>
    </xf>
    <xf numFmtId="166" fontId="36" fillId="25" borderId="1" xfId="3" applyNumberFormat="1" applyFont="1" applyFill="1" applyBorder="1" applyAlignment="1" applyProtection="1">
      <alignment horizontal="center" vertical="center"/>
      <protection locked="0"/>
    </xf>
    <xf numFmtId="2" fontId="36" fillId="25" borderId="1" xfId="3" applyNumberFormat="1" applyFont="1" applyFill="1" applyBorder="1" applyAlignment="1" applyProtection="1">
      <alignment horizontal="center" vertical="center"/>
      <protection locked="0"/>
    </xf>
    <xf numFmtId="164" fontId="36" fillId="25" borderId="1" xfId="3" applyNumberFormat="1" applyFont="1" applyFill="1" applyBorder="1" applyAlignment="1" applyProtection="1">
      <alignment horizontal="center" vertical="center"/>
    </xf>
    <xf numFmtId="0" fontId="13" fillId="25" borderId="1" xfId="3" applyFill="1" applyBorder="1" applyProtection="1"/>
    <xf numFmtId="1" fontId="36" fillId="26" borderId="1" xfId="3" applyNumberFormat="1" applyFont="1" applyFill="1" applyBorder="1" applyProtection="1"/>
    <xf numFmtId="166" fontId="37" fillId="26" borderId="1" xfId="3" applyNumberFormat="1" applyFont="1" applyFill="1" applyBorder="1" applyProtection="1"/>
    <xf numFmtId="2" fontId="37" fillId="26" borderId="1" xfId="3" applyNumberFormat="1" applyFont="1" applyFill="1" applyBorder="1" applyProtection="1"/>
    <xf numFmtId="1" fontId="37" fillId="26" borderId="1" xfId="3" applyNumberFormat="1" applyFont="1" applyFill="1" applyBorder="1" applyProtection="1"/>
    <xf numFmtId="0" fontId="36" fillId="26" borderId="1" xfId="3" applyFont="1" applyFill="1" applyBorder="1" applyAlignment="1" applyProtection="1">
      <alignment horizontal="center" vertical="center"/>
    </xf>
    <xf numFmtId="1" fontId="36" fillId="26" borderId="1" xfId="3" applyNumberFormat="1" applyFont="1" applyFill="1" applyBorder="1" applyAlignment="1" applyProtection="1">
      <alignment horizontal="center" vertical="center"/>
      <protection locked="0"/>
    </xf>
    <xf numFmtId="166" fontId="36" fillId="26" borderId="1" xfId="3" applyNumberFormat="1" applyFont="1" applyFill="1" applyBorder="1" applyAlignment="1" applyProtection="1">
      <alignment horizontal="center" vertical="center"/>
      <protection locked="0"/>
    </xf>
    <xf numFmtId="0" fontId="3" fillId="26" borderId="1" xfId="2" applyFill="1" applyBorder="1"/>
    <xf numFmtId="164" fontId="36" fillId="26" borderId="1" xfId="3" applyNumberFormat="1" applyFont="1" applyFill="1" applyBorder="1" applyAlignment="1" applyProtection="1">
      <alignment horizontal="center" vertical="center"/>
    </xf>
    <xf numFmtId="0" fontId="21" fillId="7" borderId="32" xfId="0" applyFont="1" applyFill="1" applyBorder="1"/>
    <xf numFmtId="164" fontId="23" fillId="17" borderId="1" xfId="3" applyNumberFormat="1" applyFont="1" applyFill="1" applyBorder="1" applyAlignment="1" applyProtection="1">
      <alignment horizontal="center" vertical="center"/>
    </xf>
    <xf numFmtId="0" fontId="0" fillId="17" borderId="1" xfId="0" applyFill="1" applyBorder="1"/>
    <xf numFmtId="170" fontId="21" fillId="17" borderId="10" xfId="0" applyNumberFormat="1" applyFont="1" applyFill="1" applyBorder="1" applyAlignment="1">
      <alignment horizontal="center"/>
    </xf>
    <xf numFmtId="170" fontId="21" fillId="17" borderId="11" xfId="0" applyNumberFormat="1" applyFont="1" applyFill="1" applyBorder="1" applyAlignment="1">
      <alignment horizontal="center"/>
    </xf>
    <xf numFmtId="170" fontId="21" fillId="5" borderId="10" xfId="0" applyNumberFormat="1" applyFont="1" applyFill="1" applyBorder="1" applyAlignment="1">
      <alignment horizontal="center"/>
    </xf>
    <xf numFmtId="170" fontId="21" fillId="5" borderId="11" xfId="0" applyNumberFormat="1" applyFont="1" applyFill="1" applyBorder="1" applyAlignment="1">
      <alignment horizontal="center"/>
    </xf>
    <xf numFmtId="0" fontId="5" fillId="9" borderId="0" xfId="2" applyFont="1" applyFill="1" applyAlignment="1">
      <alignment horizontal="center"/>
    </xf>
    <xf numFmtId="0" fontId="3" fillId="0" borderId="0" xfId="2" applyAlignment="1">
      <alignment wrapText="1"/>
    </xf>
    <xf numFmtId="0" fontId="4" fillId="8" borderId="0" xfId="2" applyFont="1" applyFill="1" applyAlignment="1">
      <alignment horizontal="center" vertical="center" wrapText="1"/>
    </xf>
    <xf numFmtId="0" fontId="5" fillId="9" borderId="2" xfId="2" applyFont="1" applyFill="1" applyBorder="1" applyAlignment="1">
      <alignment horizontal="center"/>
    </xf>
    <xf numFmtId="170" fontId="21" fillId="17" borderId="1" xfId="0" applyNumberFormat="1" applyFont="1" applyFill="1" applyBorder="1" applyAlignment="1">
      <alignment horizontal="center"/>
    </xf>
    <xf numFmtId="170" fontId="21" fillId="5" borderId="1" xfId="0" applyNumberFormat="1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zoomScale="85" zoomScaleNormal="85" workbookViewId="0">
      <selection activeCell="G38" sqref="G38"/>
    </sheetView>
  </sheetViews>
  <sheetFormatPr defaultRowHeight="15" x14ac:dyDescent="0.25"/>
  <cols>
    <col min="1" max="1" width="9.7109375" bestFit="1" customWidth="1"/>
    <col min="2" max="2" width="12" bestFit="1" customWidth="1"/>
    <col min="3" max="3" width="70" bestFit="1" customWidth="1"/>
    <col min="4" max="4" width="13.85546875" customWidth="1"/>
    <col min="5" max="5" width="9" customWidth="1"/>
    <col min="6" max="6" width="24.85546875" customWidth="1"/>
    <col min="7" max="7" width="8.42578125" customWidth="1"/>
    <col min="8" max="8" width="24.42578125" customWidth="1"/>
    <col min="9" max="9" width="19.7109375" customWidth="1"/>
    <col min="10" max="10" width="23.85546875" customWidth="1"/>
    <col min="11" max="11" width="17.42578125" customWidth="1"/>
    <col min="12" max="12" width="14.28515625" customWidth="1"/>
    <col min="13" max="13" width="17.7109375" customWidth="1"/>
  </cols>
  <sheetData>
    <row r="1" spans="1:16" ht="19.5" x14ac:dyDescent="0.35">
      <c r="A1" s="49" t="s">
        <v>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6" s="2" customFormat="1" ht="15.75" x14ac:dyDescent="0.3">
      <c r="A2" s="51" t="s">
        <v>178</v>
      </c>
      <c r="B2" s="50"/>
      <c r="C2" s="50"/>
      <c r="D2" s="50"/>
      <c r="E2" s="50"/>
      <c r="F2" s="50"/>
      <c r="G2" s="50"/>
      <c r="H2" s="50"/>
      <c r="I2" s="52"/>
      <c r="J2" s="125" t="s">
        <v>23</v>
      </c>
      <c r="K2" s="50"/>
      <c r="L2" s="50"/>
    </row>
    <row r="3" spans="1:16" s="2" customFormat="1" ht="15.75" x14ac:dyDescent="0.3">
      <c r="A3" s="54" t="s">
        <v>111</v>
      </c>
      <c r="B3" s="124"/>
      <c r="C3" s="124"/>
      <c r="D3" s="56" t="s">
        <v>110</v>
      </c>
      <c r="E3" s="57"/>
      <c r="F3" s="50" t="s">
        <v>204</v>
      </c>
      <c r="G3" s="50"/>
      <c r="H3" s="50"/>
      <c r="I3" s="103" t="s">
        <v>22</v>
      </c>
      <c r="J3" s="126" t="s">
        <v>24</v>
      </c>
      <c r="K3" s="50"/>
      <c r="L3" s="50"/>
    </row>
    <row r="4" spans="1:16" ht="15.75" x14ac:dyDescent="0.3">
      <c r="A4" s="54" t="s">
        <v>25</v>
      </c>
      <c r="B4" s="123"/>
      <c r="C4" s="123"/>
      <c r="D4" s="50"/>
      <c r="E4" s="50"/>
      <c r="F4" s="50">
        <f>(B17-F8)/(B17-0.206)*(K6/I6)+0.206-F8</f>
        <v>1.0452479175425686</v>
      </c>
      <c r="G4" s="50"/>
      <c r="H4" s="50"/>
      <c r="I4" s="104" t="s">
        <v>147</v>
      </c>
      <c r="J4" s="104"/>
      <c r="K4" s="50"/>
      <c r="L4" s="50"/>
    </row>
    <row r="5" spans="1:16" ht="15.75" x14ac:dyDescent="0.3">
      <c r="A5" s="54" t="s">
        <v>153</v>
      </c>
      <c r="B5" s="55">
        <f>0.012*B10</f>
        <v>2.4E-2</v>
      </c>
      <c r="C5" s="55" t="s">
        <v>201</v>
      </c>
      <c r="D5" s="50"/>
      <c r="E5" s="50"/>
      <c r="F5" s="50"/>
      <c r="G5" s="50"/>
      <c r="H5" s="50"/>
      <c r="I5" s="53" t="s">
        <v>115</v>
      </c>
      <c r="J5" s="53" t="s">
        <v>117</v>
      </c>
      <c r="K5" s="53" t="s">
        <v>217</v>
      </c>
      <c r="L5" s="50"/>
    </row>
    <row r="6" spans="1:16" ht="15.75" x14ac:dyDescent="0.3">
      <c r="A6" s="54" t="s">
        <v>160</v>
      </c>
      <c r="B6" s="55">
        <v>2.4</v>
      </c>
      <c r="C6" s="55" t="s">
        <v>161</v>
      </c>
      <c r="D6" s="50"/>
      <c r="E6" s="50"/>
      <c r="F6" s="50"/>
      <c r="G6" s="50"/>
      <c r="H6" s="50"/>
      <c r="I6" s="52">
        <v>1.34</v>
      </c>
      <c r="J6" s="52">
        <v>1.49</v>
      </c>
      <c r="K6" s="50">
        <v>1.0002899999999999</v>
      </c>
      <c r="L6" s="50"/>
    </row>
    <row r="7" spans="1:16" x14ac:dyDescent="0.25">
      <c r="A7" s="55" t="s">
        <v>0</v>
      </c>
      <c r="B7" s="55">
        <v>24</v>
      </c>
      <c r="C7" s="55" t="s">
        <v>2</v>
      </c>
      <c r="D7" s="50"/>
      <c r="E7" s="50"/>
      <c r="F7" s="50"/>
      <c r="G7" s="50"/>
      <c r="H7" s="50"/>
      <c r="I7" s="50"/>
      <c r="J7" s="50"/>
      <c r="K7" s="50"/>
      <c r="L7" s="50"/>
    </row>
    <row r="8" spans="1:16" x14ac:dyDescent="0.25">
      <c r="A8" s="55" t="s">
        <v>1</v>
      </c>
      <c r="B8" s="55">
        <v>35.375</v>
      </c>
      <c r="C8" s="55" t="s">
        <v>3</v>
      </c>
      <c r="D8" s="57">
        <f>(((100-(D12*100/B12))+100)*B8)/100</f>
        <v>44.599448630091572</v>
      </c>
      <c r="E8" s="57" t="s">
        <v>213</v>
      </c>
      <c r="F8" s="50">
        <v>3.5374999999999997E-2</v>
      </c>
      <c r="G8" s="50"/>
      <c r="H8" s="50"/>
      <c r="I8" s="50"/>
      <c r="J8" s="50"/>
      <c r="K8" s="50"/>
      <c r="L8" s="50"/>
    </row>
    <row r="9" spans="1:16" ht="16.5" x14ac:dyDescent="0.25">
      <c r="A9" s="55" t="s">
        <v>4</v>
      </c>
      <c r="B9" s="55">
        <v>24</v>
      </c>
      <c r="C9" s="55" t="s">
        <v>5</v>
      </c>
      <c r="D9" s="50"/>
      <c r="E9" s="50"/>
      <c r="F9" s="50"/>
      <c r="G9" s="50"/>
      <c r="H9" s="50"/>
      <c r="I9" s="59"/>
      <c r="J9" s="59"/>
      <c r="K9" s="59"/>
      <c r="L9" s="59"/>
      <c r="M9" s="45"/>
      <c r="N9" s="45"/>
      <c r="O9" s="45"/>
      <c r="P9" s="45"/>
    </row>
    <row r="10" spans="1:16" ht="21" x14ac:dyDescent="0.3">
      <c r="A10" s="55" t="s">
        <v>6</v>
      </c>
      <c r="B10" s="52">
        <v>2</v>
      </c>
      <c r="C10" s="55" t="s">
        <v>151</v>
      </c>
      <c r="D10" s="60"/>
      <c r="E10" s="61"/>
      <c r="F10" s="50"/>
      <c r="G10" s="50"/>
      <c r="H10" s="50"/>
      <c r="I10" s="62"/>
      <c r="J10" s="63"/>
      <c r="K10" s="64"/>
      <c r="L10" s="62"/>
      <c r="M10" s="46"/>
      <c r="N10" s="46"/>
      <c r="O10" s="46"/>
      <c r="P10" s="46"/>
    </row>
    <row r="11" spans="1:16" ht="15.75" x14ac:dyDescent="0.3">
      <c r="A11" s="55" t="s">
        <v>166</v>
      </c>
      <c r="B11" s="55">
        <v>3.8870000000000002E-2</v>
      </c>
      <c r="C11" s="55" t="s">
        <v>168</v>
      </c>
      <c r="D11" s="65">
        <f>DEGREES(2*ASIN(SIN(RADIANS(B11/2))/I6))</f>
        <v>2.9007462440095215E-2</v>
      </c>
      <c r="E11" s="57" t="s">
        <v>137</v>
      </c>
      <c r="F11" s="50"/>
      <c r="G11" s="50"/>
      <c r="H11" s="50"/>
      <c r="I11" s="50"/>
      <c r="J11" s="50"/>
      <c r="K11" s="50"/>
      <c r="L11" s="50"/>
    </row>
    <row r="12" spans="1:16" ht="15.75" x14ac:dyDescent="0.3">
      <c r="A12" s="55" t="s">
        <v>167</v>
      </c>
      <c r="B12" s="55">
        <v>40.42</v>
      </c>
      <c r="C12" s="55" t="s">
        <v>16</v>
      </c>
      <c r="D12" s="65">
        <f>DEGREES(2*ASIN(SIN(RADIANS(B12/2))/I6))</f>
        <v>29.88000809531303</v>
      </c>
      <c r="E12" s="57" t="s">
        <v>137</v>
      </c>
      <c r="F12" s="50"/>
      <c r="G12" s="50"/>
      <c r="H12" s="66" t="s">
        <v>163</v>
      </c>
      <c r="I12" s="67"/>
      <c r="J12" s="67"/>
      <c r="K12" s="68"/>
      <c r="L12" s="68"/>
      <c r="M12" s="47"/>
      <c r="N12" s="48"/>
      <c r="O12" s="47"/>
      <c r="P12" s="47"/>
    </row>
    <row r="13" spans="1:16" ht="15.75" x14ac:dyDescent="0.25">
      <c r="A13" s="55" t="s">
        <v>141</v>
      </c>
      <c r="B13" s="55">
        <f>2048/B10</f>
        <v>1024</v>
      </c>
      <c r="C13" s="55" t="s">
        <v>140</v>
      </c>
      <c r="D13" s="50"/>
      <c r="E13" s="50"/>
      <c r="F13" s="50"/>
      <c r="G13" s="50"/>
      <c r="H13" s="128" t="s">
        <v>189</v>
      </c>
      <c r="I13" s="128" t="s">
        <v>104</v>
      </c>
      <c r="J13" s="128" t="s">
        <v>105</v>
      </c>
      <c r="K13" s="128" t="s">
        <v>106</v>
      </c>
      <c r="L13" s="128" t="s">
        <v>107</v>
      </c>
    </row>
    <row r="14" spans="1:16" ht="16.5" x14ac:dyDescent="0.25">
      <c r="A14" s="50"/>
      <c r="B14" s="50"/>
      <c r="C14" s="50"/>
      <c r="D14" s="50"/>
      <c r="E14" s="50"/>
      <c r="F14" s="50"/>
      <c r="G14" s="50"/>
      <c r="H14" s="104">
        <v>1.1200000000000001</v>
      </c>
      <c r="I14" s="129">
        <f>(B8+ (B8^2/(B5*B6)))/1000</f>
        <v>21.760906684027777</v>
      </c>
      <c r="J14" s="129">
        <f>(I14*H14)/(I14+(B17-(B8/1000)))</f>
        <v>1.0631036096358559</v>
      </c>
      <c r="K14" s="129">
        <f>(I14*H14)/(I14-(H14-(B8/1000)))</f>
        <v>1.1787523433160811</v>
      </c>
      <c r="L14" s="129">
        <f>K14-J14</f>
        <v>0.11564873368022521</v>
      </c>
    </row>
    <row r="15" spans="1:16" ht="16.5" x14ac:dyDescent="0.3">
      <c r="A15" s="69" t="s">
        <v>164</v>
      </c>
      <c r="B15" s="70"/>
      <c r="C15" s="70"/>
      <c r="D15" s="50"/>
      <c r="E15" s="50"/>
      <c r="F15" s="50"/>
      <c r="G15" s="50"/>
      <c r="H15" s="171" t="s">
        <v>214</v>
      </c>
      <c r="I15" s="57"/>
      <c r="J15" s="57"/>
      <c r="K15" s="57"/>
      <c r="L15" s="170"/>
    </row>
    <row r="16" spans="1:16" ht="16.5" x14ac:dyDescent="0.3">
      <c r="A16" s="70" t="s">
        <v>7</v>
      </c>
      <c r="B16" s="71">
        <v>0.03</v>
      </c>
      <c r="C16" s="70" t="s">
        <v>179</v>
      </c>
      <c r="D16" s="72">
        <f>(B16*100000)/(60*60)</f>
        <v>0.83333333333333337</v>
      </c>
      <c r="E16" s="73" t="s">
        <v>133</v>
      </c>
      <c r="F16" s="73"/>
      <c r="G16" s="50"/>
      <c r="H16" s="57">
        <f>((D12*100/B12)*H14)/100</f>
        <v>0.82794678542183564</v>
      </c>
      <c r="I16" s="57">
        <f>(D8+ (D8^2/(B5*B6)))/1000</f>
        <v>34.577773374119282</v>
      </c>
      <c r="J16" s="57">
        <f>(I16*H16)/(I16+(H16-(D8/1000)))</f>
        <v>0.80960545753611179</v>
      </c>
      <c r="K16" s="57">
        <f>(I16*H16)/(I16-(H16-(D8/1000)))</f>
        <v>0.84713840917212813</v>
      </c>
      <c r="L16" s="170">
        <f>K16-J16</f>
        <v>3.7532951636016332E-2</v>
      </c>
    </row>
    <row r="17" spans="1:12" ht="15.75" x14ac:dyDescent="0.3">
      <c r="A17" s="70" t="s">
        <v>9</v>
      </c>
      <c r="B17" s="71">
        <v>1.2</v>
      </c>
      <c r="C17" s="70" t="s">
        <v>203</v>
      </c>
      <c r="D17" s="73">
        <f>(B17*100)</f>
        <v>120</v>
      </c>
      <c r="E17" s="73" t="s">
        <v>134</v>
      </c>
      <c r="F17" s="73"/>
      <c r="G17" s="50"/>
      <c r="H17" s="50"/>
      <c r="I17" s="50"/>
      <c r="J17" s="50"/>
      <c r="K17" s="50"/>
      <c r="L17" s="50"/>
    </row>
    <row r="18" spans="1:12" ht="15.75" x14ac:dyDescent="0.3">
      <c r="A18" s="70" t="s">
        <v>8</v>
      </c>
      <c r="B18" s="74">
        <v>40</v>
      </c>
      <c r="C18" s="70" t="s">
        <v>170</v>
      </c>
      <c r="D18" s="73">
        <f>1000/(B18)</f>
        <v>25</v>
      </c>
      <c r="E18" s="75" t="s">
        <v>186</v>
      </c>
      <c r="F18" s="76"/>
      <c r="G18" s="50"/>
      <c r="H18" s="50"/>
      <c r="I18" s="77" t="s">
        <v>146</v>
      </c>
      <c r="J18" s="78"/>
      <c r="K18" s="50"/>
      <c r="L18" s="50"/>
    </row>
    <row r="19" spans="1:12" ht="15.75" x14ac:dyDescent="0.3">
      <c r="A19" s="50"/>
      <c r="B19" s="50"/>
      <c r="C19" s="50"/>
      <c r="D19" s="50"/>
      <c r="E19" s="50"/>
      <c r="F19" s="50"/>
      <c r="G19" s="50"/>
      <c r="H19" s="50"/>
      <c r="I19" s="77" t="s">
        <v>188</v>
      </c>
      <c r="J19" s="77" t="s">
        <v>187</v>
      </c>
      <c r="K19" s="78"/>
      <c r="L19" s="50"/>
    </row>
    <row r="20" spans="1:12" ht="15.75" x14ac:dyDescent="0.3">
      <c r="A20" s="79" t="s">
        <v>21</v>
      </c>
      <c r="B20" s="80"/>
      <c r="C20" s="80"/>
      <c r="D20" s="50"/>
      <c r="E20" s="50"/>
      <c r="F20" s="50"/>
      <c r="G20" s="50"/>
      <c r="H20" s="50"/>
      <c r="I20" s="78">
        <v>9</v>
      </c>
      <c r="J20" s="78">
        <v>7</v>
      </c>
      <c r="K20" s="77" t="s">
        <v>150</v>
      </c>
      <c r="L20" s="50"/>
    </row>
    <row r="21" spans="1:12" ht="15.75" x14ac:dyDescent="0.3">
      <c r="A21" s="80" t="s">
        <v>19</v>
      </c>
      <c r="B21" s="81">
        <f>TAN(RADIANS(B12/2))*B17*2</f>
        <v>0.88350367842859023</v>
      </c>
      <c r="C21" s="80" t="s">
        <v>116</v>
      </c>
      <c r="D21" s="82">
        <f>TAN(RADIANS(D12/2))*D17*2</f>
        <v>64.03852790174156</v>
      </c>
      <c r="E21" s="57" t="s">
        <v>132</v>
      </c>
      <c r="F21" s="83">
        <f>D21/100</f>
        <v>0.6403852790174156</v>
      </c>
      <c r="G21" s="57" t="s">
        <v>142</v>
      </c>
      <c r="H21" s="50"/>
      <c r="I21" s="127">
        <f>2*(I22*TAN(RADIANS(I20/2)))</f>
        <v>0.15740341364923688</v>
      </c>
      <c r="J21" s="127">
        <f>2*(J22*TAN(RADIANS(J20/2)))</f>
        <v>0.12232524030096861</v>
      </c>
      <c r="K21" s="77" t="s">
        <v>181</v>
      </c>
      <c r="L21" s="50"/>
    </row>
    <row r="22" spans="1:12" ht="15.75" x14ac:dyDescent="0.3">
      <c r="A22" s="80" t="s">
        <v>10</v>
      </c>
      <c r="B22" s="84">
        <f>(B7*B17)/(1000*B8)</f>
        <v>8.1413427561837447E-4</v>
      </c>
      <c r="C22" s="80" t="s">
        <v>13</v>
      </c>
      <c r="D22" s="82">
        <f>TAN(RADIANS(D11/2))*D17*2</f>
        <v>6.0753088565051225E-2</v>
      </c>
      <c r="E22" s="57" t="s">
        <v>138</v>
      </c>
      <c r="F22" s="83">
        <f>D22/100</f>
        <v>6.0753088565051224E-4</v>
      </c>
      <c r="G22" s="57" t="s">
        <v>143</v>
      </c>
      <c r="H22" s="50"/>
      <c r="I22" s="78">
        <v>1</v>
      </c>
      <c r="J22" s="78">
        <v>1</v>
      </c>
      <c r="K22" s="77" t="s">
        <v>180</v>
      </c>
      <c r="L22" s="50"/>
    </row>
    <row r="23" spans="1:12" ht="15.75" x14ac:dyDescent="0.3">
      <c r="A23" s="80" t="s">
        <v>11</v>
      </c>
      <c r="B23" s="85">
        <f>(B9*B10*B17)/(1000*B8)</f>
        <v>1.6282685512367489E-3</v>
      </c>
      <c r="C23" s="80" t="s">
        <v>14</v>
      </c>
      <c r="D23" s="86">
        <f>D21/B13</f>
        <v>6.2537624904044492E-2</v>
      </c>
      <c r="E23" s="57" t="s">
        <v>138</v>
      </c>
      <c r="F23" s="83">
        <f>D23/100</f>
        <v>6.2537624904044492E-4</v>
      </c>
      <c r="G23" s="57" t="s">
        <v>143</v>
      </c>
      <c r="H23" s="50"/>
      <c r="I23" s="50"/>
      <c r="J23" s="50"/>
      <c r="K23" s="50"/>
      <c r="L23" s="50"/>
    </row>
    <row r="24" spans="1:12" ht="15.75" x14ac:dyDescent="0.3">
      <c r="A24" s="80" t="s">
        <v>12</v>
      </c>
      <c r="B24" s="85">
        <f>(B16/B18)*0.2777</f>
        <v>2.0827500000000001E-4</v>
      </c>
      <c r="C24" s="80" t="s">
        <v>145</v>
      </c>
      <c r="D24" s="82">
        <f>((B16/B18)*0.2777)*100</f>
        <v>2.0827500000000002E-2</v>
      </c>
      <c r="E24" s="57" t="s">
        <v>138</v>
      </c>
      <c r="F24" s="172"/>
      <c r="G24" s="173"/>
      <c r="H24" s="50"/>
      <c r="I24" s="77" t="s">
        <v>208</v>
      </c>
      <c r="J24" s="78"/>
      <c r="K24" s="50"/>
      <c r="L24" s="50"/>
    </row>
    <row r="25" spans="1:12" ht="15.75" x14ac:dyDescent="0.3">
      <c r="A25" s="80" t="s">
        <v>18</v>
      </c>
      <c r="B25" s="85">
        <f>(9*B7*B17*B18)/(2500*B8)</f>
        <v>0.11723533568904594</v>
      </c>
      <c r="C25" s="80" t="s">
        <v>171</v>
      </c>
      <c r="D25" s="85">
        <f>((9*B7*B17*B18)/(2500*B8))*100000/(60*60)</f>
        <v>3.2565371024734979</v>
      </c>
      <c r="E25" s="80" t="s">
        <v>169</v>
      </c>
      <c r="F25" s="174"/>
      <c r="G25" s="175"/>
      <c r="H25" s="50"/>
      <c r="I25" s="77" t="s">
        <v>188</v>
      </c>
      <c r="J25" s="77" t="s">
        <v>187</v>
      </c>
      <c r="K25" s="78"/>
      <c r="L25" s="50"/>
    </row>
    <row r="26" spans="1:12" ht="15.75" x14ac:dyDescent="0.3">
      <c r="A26" s="80" t="s">
        <v>17</v>
      </c>
      <c r="B26" s="84">
        <f>(9*B9*B10*B17*B18)/(2500*B8)</f>
        <v>0.23447067137809188</v>
      </c>
      <c r="C26" s="80" t="s">
        <v>158</v>
      </c>
      <c r="D26" s="84">
        <f>((9*B9*B10*B17*B18)/(2500*B8))*100000/(60*60)</f>
        <v>6.5130742049469958</v>
      </c>
      <c r="E26" s="80" t="s">
        <v>169</v>
      </c>
      <c r="F26" s="174"/>
      <c r="G26" s="175"/>
      <c r="H26" s="50"/>
      <c r="I26" s="78"/>
      <c r="J26" s="78">
        <v>25</v>
      </c>
      <c r="K26" s="77" t="s">
        <v>150</v>
      </c>
      <c r="L26" s="50"/>
    </row>
    <row r="27" spans="1:12" ht="15.75" x14ac:dyDescent="0.3">
      <c r="A27" s="87" t="s">
        <v>15</v>
      </c>
      <c r="B27" s="71">
        <v>162</v>
      </c>
      <c r="C27" s="87" t="s">
        <v>152</v>
      </c>
      <c r="D27" s="50" t="s">
        <v>149</v>
      </c>
      <c r="E27" s="50"/>
      <c r="F27" s="50"/>
      <c r="G27" s="50"/>
      <c r="H27" s="50"/>
      <c r="I27" s="127"/>
      <c r="J27" s="127">
        <f>2*(J28*TAN(RADIANS(J26/2)))</f>
        <v>0.44338932528587977</v>
      </c>
      <c r="K27" s="77" t="s">
        <v>181</v>
      </c>
      <c r="L27" s="50"/>
    </row>
    <row r="28" spans="1:12" ht="15.75" x14ac:dyDescent="0.3">
      <c r="A28" s="88" t="s">
        <v>174</v>
      </c>
      <c r="B28" s="73">
        <f>B27*B24</f>
        <v>3.3740550000000001E-2</v>
      </c>
      <c r="C28" s="87" t="s">
        <v>175</v>
      </c>
      <c r="D28" s="50"/>
      <c r="E28" s="50"/>
      <c r="F28" s="50"/>
      <c r="G28" s="50"/>
      <c r="H28" s="50"/>
      <c r="I28" s="78"/>
      <c r="J28" s="78">
        <v>1</v>
      </c>
      <c r="K28" s="77" t="s">
        <v>180</v>
      </c>
      <c r="L28" s="50"/>
    </row>
    <row r="29" spans="1:12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</sheetData>
  <mergeCells count="3">
    <mergeCell ref="F24:G24"/>
    <mergeCell ref="F25:G25"/>
    <mergeCell ref="F26:G26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workbookViewId="0">
      <selection activeCell="I18" sqref="I18"/>
    </sheetView>
  </sheetViews>
  <sheetFormatPr defaultRowHeight="15" x14ac:dyDescent="0.25"/>
  <cols>
    <col min="1" max="1" width="38.85546875" customWidth="1"/>
    <col min="2" max="2" width="17.42578125" customWidth="1"/>
    <col min="3" max="3" width="17.7109375" customWidth="1"/>
    <col min="8" max="8" width="18.140625" customWidth="1"/>
    <col min="9" max="9" width="23.28515625" customWidth="1"/>
    <col min="10" max="10" width="24.7109375" customWidth="1"/>
  </cols>
  <sheetData>
    <row r="1" spans="1:16" ht="19.5" x14ac:dyDescent="0.35">
      <c r="A1" s="49" t="s">
        <v>185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x14ac:dyDescent="0.25">
      <c r="A2" s="50"/>
      <c r="B2" s="50"/>
      <c r="C2" s="50"/>
      <c r="D2" s="50"/>
      <c r="E2" s="50"/>
      <c r="F2" s="50"/>
      <c r="G2" s="50"/>
      <c r="I2" s="52"/>
      <c r="J2" s="50" t="s">
        <v>22</v>
      </c>
      <c r="K2" s="50"/>
      <c r="L2" s="50"/>
      <c r="M2" s="50"/>
      <c r="N2" s="50"/>
      <c r="O2" s="50"/>
      <c r="P2" s="50"/>
    </row>
    <row r="3" spans="1:16" ht="17.25" customHeight="1" thickBot="1" x14ac:dyDescent="0.45">
      <c r="A3" s="93"/>
      <c r="B3" s="53" t="s">
        <v>111</v>
      </c>
      <c r="C3" s="56" t="s">
        <v>110</v>
      </c>
      <c r="D3" s="50"/>
      <c r="E3" s="50"/>
      <c r="F3" s="50"/>
      <c r="G3" s="50"/>
      <c r="I3" s="53" t="s">
        <v>23</v>
      </c>
      <c r="J3" s="61" t="s">
        <v>24</v>
      </c>
      <c r="K3" s="50"/>
      <c r="L3" s="50"/>
      <c r="M3" s="50"/>
      <c r="N3" s="50"/>
      <c r="O3" s="50"/>
      <c r="P3" s="50"/>
    </row>
    <row r="4" spans="1:16" ht="19.5" customHeight="1" thickBot="1" x14ac:dyDescent="0.35">
      <c r="A4" s="50" t="s">
        <v>27</v>
      </c>
      <c r="B4" s="94">
        <f>'Cameras_FOV_&amp;_resolution'!C11</f>
        <v>32.661169005297474</v>
      </c>
      <c r="C4" s="82">
        <f>DEGREES(2*ASIN(SIN(RADIANS(B4/2))/I6))</f>
        <v>24.225375907369582</v>
      </c>
      <c r="D4" s="50" t="s">
        <v>28</v>
      </c>
      <c r="E4" s="50"/>
      <c r="F4" s="50"/>
      <c r="G4" s="50"/>
      <c r="I4" s="58" t="s">
        <v>147</v>
      </c>
      <c r="J4" s="58"/>
      <c r="K4" s="50"/>
      <c r="L4" s="50"/>
      <c r="M4" s="50"/>
      <c r="N4" s="50"/>
      <c r="O4" s="50"/>
      <c r="P4" s="50"/>
    </row>
    <row r="5" spans="1:16" ht="14.25" customHeight="1" x14ac:dyDescent="0.3">
      <c r="A5" s="50" t="s">
        <v>29</v>
      </c>
      <c r="B5" s="95">
        <f>'Cameras_FOV_&amp;_resolution'!B11</f>
        <v>50.234367110225662</v>
      </c>
      <c r="C5" s="82">
        <f>DEGREES(2*ASIN(SIN(RADIANS(B5/2))/I6))</f>
        <v>36.935327584107355</v>
      </c>
      <c r="D5" s="50" t="s">
        <v>28</v>
      </c>
      <c r="E5" s="50"/>
      <c r="F5" s="50"/>
      <c r="G5" s="50"/>
      <c r="H5" s="50"/>
      <c r="I5" s="53" t="s">
        <v>115</v>
      </c>
      <c r="J5" s="53" t="s">
        <v>131</v>
      </c>
      <c r="K5" s="50"/>
      <c r="L5" s="50"/>
      <c r="M5" s="50"/>
      <c r="N5" s="50"/>
      <c r="O5" s="50"/>
      <c r="P5" s="50"/>
    </row>
    <row r="6" spans="1:16" ht="15.75" x14ac:dyDescent="0.3">
      <c r="A6" s="50" t="s">
        <v>30</v>
      </c>
      <c r="B6" s="96">
        <v>1.17</v>
      </c>
      <c r="C6" s="97"/>
      <c r="D6" s="50"/>
      <c r="E6" s="50"/>
      <c r="F6" s="50"/>
      <c r="G6" s="50"/>
      <c r="H6" s="50"/>
      <c r="I6" s="52">
        <v>1.34</v>
      </c>
      <c r="J6" s="52">
        <v>1.49</v>
      </c>
      <c r="K6" s="50"/>
      <c r="L6" s="50"/>
      <c r="M6" s="50"/>
      <c r="N6" s="50"/>
      <c r="O6" s="50"/>
      <c r="P6" s="50"/>
    </row>
    <row r="7" spans="1:16" ht="15.75" x14ac:dyDescent="0.3">
      <c r="A7" s="50" t="s">
        <v>31</v>
      </c>
      <c r="B7" s="96">
        <v>10</v>
      </c>
      <c r="C7" s="97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x14ac:dyDescent="0.25">
      <c r="A8" s="50" t="s">
        <v>32</v>
      </c>
      <c r="B8" s="95">
        <v>0.2</v>
      </c>
      <c r="C8" s="9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x14ac:dyDescent="0.25">
      <c r="A9" s="50"/>
      <c r="B9" s="99"/>
      <c r="C9" s="9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16" x14ac:dyDescent="0.25">
      <c r="A10" s="50" t="s">
        <v>33</v>
      </c>
      <c r="B10" s="100">
        <f>2*B6*TAN(RADIANS(B5/2))</f>
        <v>1.0969919999999997</v>
      </c>
      <c r="C10" s="86">
        <f>2*B6*TAN(RADIANS(C5/2))</f>
        <v>0.78148484097583382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</row>
    <row r="11" spans="1:16" x14ac:dyDescent="0.25">
      <c r="A11" s="50" t="s">
        <v>34</v>
      </c>
      <c r="B11" s="100">
        <f>2*B6*TAN(RADIANS(B4/2))</f>
        <v>0.6856199999999999</v>
      </c>
      <c r="C11" s="86">
        <f>2*B6*TAN(RADIANS(C4/2))</f>
        <v>0.50219455892012466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6" x14ac:dyDescent="0.25">
      <c r="A12" s="50" t="s">
        <v>35</v>
      </c>
      <c r="B12" s="100">
        <f>B10-(B8*B10)</f>
        <v>0.87759359999999975</v>
      </c>
      <c r="C12" s="86">
        <f>C10-(B8*C10)</f>
        <v>0.62518787278066701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x14ac:dyDescent="0.25">
      <c r="A13" s="50" t="s">
        <v>36</v>
      </c>
      <c r="B13" s="100">
        <f>B11-(B8*B11)</f>
        <v>0.54849599999999987</v>
      </c>
      <c r="C13" s="86">
        <f>C11-(B8*C11)</f>
        <v>0.40175564713609974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x14ac:dyDescent="0.25">
      <c r="A14" s="50" t="s">
        <v>37</v>
      </c>
      <c r="B14" s="95">
        <f>'Cameras_FOV_&amp;_resolution'!G11</f>
        <v>1920</v>
      </c>
      <c r="C14" s="98"/>
      <c r="D14" s="50" t="s">
        <v>28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A15" s="50" t="s">
        <v>38</v>
      </c>
      <c r="B15" s="95">
        <f>'Cameras_FOV_&amp;_resolution'!H11</f>
        <v>1200</v>
      </c>
      <c r="C15" s="98"/>
      <c r="D15" s="50" t="s">
        <v>28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6" x14ac:dyDescent="0.25">
      <c r="A16" s="50" t="s">
        <v>39</v>
      </c>
      <c r="B16" s="100">
        <f>B10/B14</f>
        <v>5.7134999999999987E-4</v>
      </c>
      <c r="C16" s="101">
        <f>C10/B14</f>
        <v>4.0702335467491347E-4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6" x14ac:dyDescent="0.25">
      <c r="A17" s="50" t="s">
        <v>40</v>
      </c>
      <c r="B17" s="100">
        <f>B16*100</f>
        <v>5.7134999999999984E-2</v>
      </c>
      <c r="C17" s="101">
        <f>C16*100</f>
        <v>4.070233546749135E-2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</row>
    <row r="18" spans="1:16" x14ac:dyDescent="0.25">
      <c r="A18" s="50" t="s">
        <v>41</v>
      </c>
      <c r="B18" s="100">
        <f>B11/B15</f>
        <v>5.7134999999999987E-4</v>
      </c>
      <c r="C18" s="101">
        <f>C11/B15</f>
        <v>4.1849546576677054E-4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6" x14ac:dyDescent="0.25">
      <c r="A19" s="50" t="s">
        <v>42</v>
      </c>
      <c r="B19" s="100">
        <f>B18*100</f>
        <v>5.7134999999999984E-2</v>
      </c>
      <c r="C19" s="101">
        <f>C18*100</f>
        <v>4.1849546576677055E-2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6" x14ac:dyDescent="0.25">
      <c r="A20" s="50"/>
      <c r="B20" s="98"/>
      <c r="C20" s="9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ht="15.75" x14ac:dyDescent="0.3">
      <c r="A21" s="92" t="s">
        <v>43</v>
      </c>
      <c r="B21" s="97"/>
      <c r="C21" s="97"/>
      <c r="D21" s="50" t="s">
        <v>44</v>
      </c>
      <c r="E21" s="92"/>
      <c r="F21" s="92"/>
      <c r="G21" s="92"/>
      <c r="H21" s="92"/>
      <c r="I21" s="92"/>
      <c r="J21" s="92"/>
      <c r="K21" s="50"/>
      <c r="L21" s="50"/>
      <c r="M21" s="50"/>
      <c r="N21" s="50"/>
      <c r="O21" s="50"/>
      <c r="P21" s="50"/>
    </row>
    <row r="22" spans="1:16" x14ac:dyDescent="0.25">
      <c r="A22" s="50" t="s">
        <v>45</v>
      </c>
      <c r="B22" s="100">
        <f>B12/B7</f>
        <v>8.7759359999999981E-2</v>
      </c>
      <c r="C22" s="101">
        <f>C12/B7</f>
        <v>6.2518787278066701E-2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1" customFormat="1" ht="15.75" x14ac:dyDescent="0.3">
      <c r="A23" s="50" t="s">
        <v>46</v>
      </c>
      <c r="B23" s="100">
        <f>B22*60</f>
        <v>5.265561599999999</v>
      </c>
      <c r="C23" s="101">
        <f>C22*60</f>
        <v>3.7511272366840021</v>
      </c>
      <c r="D23" s="50"/>
      <c r="E23" s="50"/>
      <c r="F23" s="50"/>
      <c r="G23" s="50"/>
      <c r="H23" s="50"/>
      <c r="I23" s="50"/>
      <c r="J23" s="50"/>
      <c r="K23" s="92"/>
      <c r="L23" s="92"/>
      <c r="M23" s="92"/>
      <c r="N23" s="92"/>
      <c r="O23" s="92"/>
      <c r="P23" s="92"/>
    </row>
    <row r="24" spans="1:16" x14ac:dyDescent="0.25">
      <c r="A24" s="50" t="s">
        <v>47</v>
      </c>
      <c r="B24" s="100">
        <f>B23*60/1000</f>
        <v>0.31593369599999993</v>
      </c>
      <c r="C24" s="101">
        <f>C23*60/1000</f>
        <v>0.22506763420104015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  <row r="25" spans="1:16" x14ac:dyDescent="0.25">
      <c r="A25" s="50" t="s">
        <v>48</v>
      </c>
      <c r="B25" s="100">
        <f>B24*0.621</f>
        <v>0.19619482521599996</v>
      </c>
      <c r="C25" s="101">
        <f>C24*0.621</f>
        <v>0.13976700083884594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x14ac:dyDescent="0.25">
      <c r="A26" s="50"/>
      <c r="B26" s="99"/>
      <c r="C26" s="9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6" ht="15.75" x14ac:dyDescent="0.3">
      <c r="A27" s="92" t="s">
        <v>49</v>
      </c>
      <c r="B27" s="102"/>
      <c r="C27" s="97"/>
      <c r="D27" s="50"/>
      <c r="E27" s="92"/>
      <c r="F27" s="92"/>
      <c r="G27" s="92"/>
      <c r="H27" s="92"/>
      <c r="I27" s="92"/>
      <c r="J27" s="92"/>
      <c r="K27" s="50"/>
      <c r="L27" s="50"/>
      <c r="M27" s="50"/>
      <c r="N27" s="50"/>
      <c r="O27" s="50"/>
      <c r="P27" s="50"/>
    </row>
    <row r="28" spans="1:16" x14ac:dyDescent="0.25">
      <c r="A28" s="50" t="s">
        <v>50</v>
      </c>
      <c r="B28" s="95">
        <v>3950</v>
      </c>
      <c r="C28" s="98"/>
      <c r="D28" s="50" t="s">
        <v>28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 s="1" customFormat="1" ht="15.75" x14ac:dyDescent="0.3">
      <c r="A29" s="50" t="s">
        <v>51</v>
      </c>
      <c r="B29" s="95">
        <f>4*1024*1024</f>
        <v>4194304</v>
      </c>
      <c r="C29" s="98"/>
      <c r="D29" s="50"/>
      <c r="E29" s="50"/>
      <c r="F29" s="50"/>
      <c r="G29" s="50"/>
      <c r="H29" s="50"/>
      <c r="I29" s="50"/>
      <c r="J29" s="50"/>
      <c r="K29" s="92"/>
      <c r="L29" s="92"/>
      <c r="M29" s="92"/>
      <c r="N29" s="92"/>
      <c r="O29" s="92"/>
      <c r="P29" s="92"/>
    </row>
    <row r="30" spans="1:16" x14ac:dyDescent="0.25">
      <c r="A30" s="50" t="s">
        <v>52</v>
      </c>
      <c r="B30" s="100">
        <f>B29/B28</f>
        <v>1061.8491139240507</v>
      </c>
      <c r="C30" s="9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x14ac:dyDescent="0.25">
      <c r="A31" s="50" t="s">
        <v>53</v>
      </c>
      <c r="B31" s="100">
        <f>B30*B7/60</f>
        <v>176.9748523206751</v>
      </c>
      <c r="C31" s="9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5">
      <c r="K32" s="50"/>
      <c r="L32" s="50"/>
      <c r="M32" s="50"/>
      <c r="N32" s="50"/>
      <c r="O32" s="50"/>
      <c r="P32" s="50"/>
    </row>
    <row r="33" spans="1:16" x14ac:dyDescent="0.25">
      <c r="K33" s="50"/>
      <c r="L33" s="50"/>
      <c r="M33" s="50"/>
      <c r="N33" s="50"/>
      <c r="O33" s="50"/>
      <c r="P33" s="50"/>
    </row>
    <row r="35" spans="1:16" x14ac:dyDescent="0.25">
      <c r="A35" s="4"/>
    </row>
  </sheetData>
  <pageMargins left="0.7" right="0.7" top="0.75" bottom="0.75" header="0.3" footer="0.3"/>
  <pageSetup orientation="portrait" verticalDpi="0" r:id="rId1"/>
  <ignoredErrors>
    <ignoredError sqref="B18:C1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tabSelected="1" workbookViewId="0">
      <selection activeCell="H25" sqref="H25"/>
    </sheetView>
  </sheetViews>
  <sheetFormatPr defaultRowHeight="15" x14ac:dyDescent="0.25"/>
  <cols>
    <col min="1" max="1" width="24" customWidth="1"/>
    <col min="2" max="2" width="15.28515625" customWidth="1"/>
    <col min="3" max="3" width="13.7109375" customWidth="1"/>
    <col min="4" max="4" width="21" customWidth="1"/>
    <col min="5" max="5" width="17.28515625" customWidth="1"/>
    <col min="6" max="6" width="18" customWidth="1"/>
    <col min="7" max="7" width="11.85546875" customWidth="1"/>
    <col min="8" max="8" width="13.140625" customWidth="1"/>
    <col min="9" max="9" width="14.5703125" customWidth="1"/>
    <col min="11" max="11" width="18.140625" customWidth="1"/>
    <col min="12" max="12" width="14.42578125" customWidth="1"/>
  </cols>
  <sheetData>
    <row r="1" spans="1:13" x14ac:dyDescent="0.25">
      <c r="A1" s="90" t="s">
        <v>54</v>
      </c>
      <c r="B1" s="90" t="s">
        <v>55</v>
      </c>
      <c r="C1" s="90" t="s">
        <v>56</v>
      </c>
      <c r="D1" s="90" t="s">
        <v>57</v>
      </c>
      <c r="E1" s="90" t="s">
        <v>58</v>
      </c>
      <c r="F1" s="90" t="s">
        <v>59</v>
      </c>
      <c r="G1" s="90" t="s">
        <v>183</v>
      </c>
      <c r="H1" s="90" t="s">
        <v>182</v>
      </c>
      <c r="I1" s="90" t="s">
        <v>60</v>
      </c>
      <c r="J1" s="90" t="s">
        <v>61</v>
      </c>
      <c r="K1" s="89" t="s">
        <v>215</v>
      </c>
      <c r="L1" s="89"/>
      <c r="M1" s="106"/>
    </row>
    <row r="2" spans="1:13" x14ac:dyDescent="0.25">
      <c r="A2" s="90" t="s">
        <v>194</v>
      </c>
      <c r="B2" s="90"/>
      <c r="C2" s="90"/>
      <c r="D2" s="90"/>
      <c r="E2" s="90"/>
      <c r="F2" s="90"/>
      <c r="G2" s="90"/>
      <c r="H2" s="90"/>
      <c r="I2" s="90"/>
      <c r="J2" s="90"/>
      <c r="K2" s="89"/>
      <c r="L2" s="89"/>
      <c r="M2" s="106"/>
    </row>
    <row r="3" spans="1:13" x14ac:dyDescent="0.25">
      <c r="A3" s="90" t="s">
        <v>156</v>
      </c>
      <c r="B3" s="91">
        <f t="shared" ref="B3:B11" si="0">DEGREES(2*ATAN(E3/(2*D3)))</f>
        <v>4.4858765130541496</v>
      </c>
      <c r="C3" s="91">
        <f t="shared" ref="C3:C11" si="1">DEGREES(2*ATAN(F3/(2*D3)))</f>
        <v>2.9977950615216336</v>
      </c>
      <c r="D3" s="107">
        <v>300</v>
      </c>
      <c r="E3" s="107">
        <v>23.5</v>
      </c>
      <c r="F3" s="107">
        <v>15.7</v>
      </c>
      <c r="G3" s="107">
        <v>5568</v>
      </c>
      <c r="H3" s="107">
        <v>3712</v>
      </c>
      <c r="I3" s="105"/>
      <c r="J3" s="105"/>
      <c r="K3" s="89"/>
      <c r="L3" s="89"/>
      <c r="M3" s="106"/>
    </row>
    <row r="4" spans="1:13" x14ac:dyDescent="0.25">
      <c r="A4" s="90" t="s">
        <v>114</v>
      </c>
      <c r="B4" s="91">
        <f t="shared" si="0"/>
        <v>68.778945231990619</v>
      </c>
      <c r="C4" s="91">
        <f t="shared" si="1"/>
        <v>54.345882293833441</v>
      </c>
      <c r="D4" s="107">
        <v>4.5</v>
      </c>
      <c r="E4" s="107">
        <v>6.16</v>
      </c>
      <c r="F4" s="107">
        <v>4.62</v>
      </c>
      <c r="G4" s="107">
        <v>4608</v>
      </c>
      <c r="H4" s="107">
        <v>3456</v>
      </c>
      <c r="I4" s="105"/>
      <c r="J4" s="105"/>
      <c r="K4" s="89" t="s">
        <v>139</v>
      </c>
      <c r="L4" s="89" t="s">
        <v>144</v>
      </c>
      <c r="M4" s="106"/>
    </row>
    <row r="5" spans="1:13" x14ac:dyDescent="0.25">
      <c r="A5" s="90" t="s">
        <v>113</v>
      </c>
      <c r="B5" s="91">
        <f t="shared" si="0"/>
        <v>37.115275341522178</v>
      </c>
      <c r="C5" s="91">
        <f t="shared" si="1"/>
        <v>25.126938797036754</v>
      </c>
      <c r="D5" s="107">
        <v>35</v>
      </c>
      <c r="E5" s="107">
        <v>23.5</v>
      </c>
      <c r="F5" s="107">
        <v>15.6</v>
      </c>
      <c r="G5" s="107">
        <v>6000</v>
      </c>
      <c r="H5" s="107">
        <v>4000</v>
      </c>
      <c r="I5" s="105"/>
      <c r="J5" s="105"/>
      <c r="K5" s="89"/>
      <c r="L5" s="89"/>
      <c r="M5" s="106"/>
    </row>
    <row r="6" spans="1:13" x14ac:dyDescent="0.25">
      <c r="A6" s="90" t="s">
        <v>157</v>
      </c>
      <c r="B6" s="108" t="s">
        <v>165</v>
      </c>
      <c r="C6" s="108" t="s">
        <v>165</v>
      </c>
      <c r="D6" s="109" t="s">
        <v>165</v>
      </c>
      <c r="E6" s="107">
        <v>6.2</v>
      </c>
      <c r="F6" s="107">
        <v>4.5</v>
      </c>
      <c r="G6" s="107">
        <v>4000</v>
      </c>
      <c r="H6" s="107">
        <v>3000</v>
      </c>
      <c r="I6" s="105"/>
      <c r="J6" s="105"/>
      <c r="K6" s="89"/>
      <c r="L6" s="89"/>
      <c r="M6" s="106"/>
    </row>
    <row r="7" spans="1:13" x14ac:dyDescent="0.25">
      <c r="A7" s="90" t="s">
        <v>159</v>
      </c>
      <c r="B7" s="91"/>
      <c r="C7" s="91"/>
      <c r="D7" s="109"/>
      <c r="E7" s="107"/>
      <c r="F7" s="107"/>
      <c r="G7" s="107"/>
      <c r="H7" s="107"/>
      <c r="I7" s="105"/>
      <c r="J7" s="105"/>
      <c r="K7" s="89"/>
      <c r="L7" s="89"/>
      <c r="M7" s="106"/>
    </row>
    <row r="8" spans="1:13" x14ac:dyDescent="0.25">
      <c r="A8" s="90" t="s">
        <v>193</v>
      </c>
      <c r="B8" s="91">
        <v>80</v>
      </c>
      <c r="C8" s="91">
        <v>64</v>
      </c>
      <c r="D8" s="109" t="s">
        <v>154</v>
      </c>
      <c r="E8" s="109" t="s">
        <v>154</v>
      </c>
      <c r="F8" s="109" t="s">
        <v>154</v>
      </c>
      <c r="G8" s="107">
        <v>1920</v>
      </c>
      <c r="H8" s="107">
        <v>1080</v>
      </c>
      <c r="I8" s="105"/>
      <c r="J8" s="105"/>
      <c r="K8" s="89"/>
      <c r="L8" s="89"/>
      <c r="M8" s="106"/>
    </row>
    <row r="9" spans="1:13" x14ac:dyDescent="0.25">
      <c r="A9" s="90" t="s">
        <v>148</v>
      </c>
      <c r="B9" s="91">
        <f t="shared" si="0"/>
        <v>38.310768487663886</v>
      </c>
      <c r="C9" s="91">
        <f t="shared" si="1"/>
        <v>3.8872046800533369E-2</v>
      </c>
      <c r="D9" s="107">
        <v>35.375</v>
      </c>
      <c r="E9" s="107">
        <v>24.576000000000001</v>
      </c>
      <c r="F9" s="107">
        <v>2.4E-2</v>
      </c>
      <c r="G9" s="107">
        <v>2048</v>
      </c>
      <c r="H9" s="107">
        <v>1</v>
      </c>
      <c r="I9" s="105"/>
      <c r="J9" s="105"/>
      <c r="K9" s="89"/>
      <c r="L9" s="89"/>
      <c r="M9" s="106"/>
    </row>
    <row r="10" spans="1:13" x14ac:dyDescent="0.25">
      <c r="A10" s="90" t="s">
        <v>218</v>
      </c>
      <c r="B10" s="91"/>
      <c r="C10" s="91"/>
      <c r="D10" s="107">
        <v>1.4</v>
      </c>
      <c r="E10" s="107"/>
      <c r="F10" s="107"/>
      <c r="G10" s="107"/>
      <c r="H10" s="107"/>
      <c r="I10" s="105"/>
      <c r="J10" s="105"/>
      <c r="K10" s="89"/>
      <c r="L10" s="89"/>
      <c r="M10" s="106"/>
    </row>
    <row r="11" spans="1:13" x14ac:dyDescent="0.25">
      <c r="A11" s="90" t="s">
        <v>216</v>
      </c>
      <c r="B11" s="91">
        <f t="shared" si="0"/>
        <v>50.234367110225662</v>
      </c>
      <c r="C11" s="91">
        <f t="shared" si="1"/>
        <v>32.661169005297474</v>
      </c>
      <c r="D11" s="107">
        <v>12</v>
      </c>
      <c r="E11" s="107">
        <f>G11*K11</f>
        <v>11.251199999999999</v>
      </c>
      <c r="F11" s="107">
        <f>H11*K11</f>
        <v>7.032</v>
      </c>
      <c r="G11" s="107">
        <v>1920</v>
      </c>
      <c r="H11" s="107">
        <v>1200</v>
      </c>
      <c r="I11" s="105"/>
      <c r="J11" s="105"/>
      <c r="K11" s="89">
        <v>5.8599999999999998E-3</v>
      </c>
      <c r="L11" s="89"/>
      <c r="M11" s="106"/>
    </row>
    <row r="12" spans="1:13" ht="15.75" thickBot="1" x14ac:dyDescent="0.3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106"/>
    </row>
    <row r="13" spans="1:13" ht="27.75" thickBot="1" x14ac:dyDescent="0.3">
      <c r="A13" s="110" t="s">
        <v>157</v>
      </c>
      <c r="B13" s="111" t="s">
        <v>118</v>
      </c>
      <c r="C13" s="112" t="s">
        <v>119</v>
      </c>
      <c r="D13" s="133" t="s">
        <v>120</v>
      </c>
      <c r="E13" s="134" t="s">
        <v>191</v>
      </c>
      <c r="F13" s="135" t="s">
        <v>192</v>
      </c>
      <c r="G13" s="89"/>
      <c r="H13" s="89"/>
      <c r="I13" s="89"/>
      <c r="J13" s="89"/>
      <c r="K13" s="89"/>
      <c r="L13" s="89"/>
      <c r="M13" s="106"/>
    </row>
    <row r="14" spans="1:13" ht="15.75" thickBot="1" x14ac:dyDescent="0.3">
      <c r="A14" s="113" t="s">
        <v>121</v>
      </c>
      <c r="B14" s="114">
        <v>94.4</v>
      </c>
      <c r="C14" s="114">
        <v>122.6</v>
      </c>
      <c r="D14" s="130">
        <v>149.19999999999999</v>
      </c>
      <c r="E14" s="131" t="s">
        <v>127</v>
      </c>
      <c r="F14" s="132">
        <v>14</v>
      </c>
      <c r="G14" s="89"/>
      <c r="H14" s="89"/>
      <c r="I14" s="89"/>
      <c r="J14" s="89"/>
      <c r="K14" s="89"/>
      <c r="L14" s="89"/>
      <c r="M14" s="106"/>
    </row>
    <row r="15" spans="1:13" ht="15.75" thickBot="1" x14ac:dyDescent="0.3">
      <c r="A15" s="118" t="s">
        <v>122</v>
      </c>
      <c r="B15" s="114">
        <v>72.2</v>
      </c>
      <c r="C15" s="114">
        <v>94.4</v>
      </c>
      <c r="D15" s="115">
        <v>115.7</v>
      </c>
      <c r="E15" s="116" t="s">
        <v>128</v>
      </c>
      <c r="F15" s="117">
        <v>21</v>
      </c>
      <c r="G15" s="89"/>
      <c r="H15" s="89"/>
      <c r="I15" s="89"/>
      <c r="J15" s="89"/>
      <c r="K15" s="89"/>
      <c r="L15" s="89"/>
      <c r="M15" s="106"/>
    </row>
    <row r="16" spans="1:13" ht="15.75" thickBot="1" x14ac:dyDescent="0.3">
      <c r="A16" s="118" t="s">
        <v>123</v>
      </c>
      <c r="B16" s="114">
        <v>49.1</v>
      </c>
      <c r="C16" s="114">
        <v>64.599999999999994</v>
      </c>
      <c r="D16" s="114">
        <v>79.7</v>
      </c>
      <c r="E16" s="119" t="s">
        <v>130</v>
      </c>
      <c r="F16" s="120">
        <v>28</v>
      </c>
      <c r="G16" s="89"/>
      <c r="H16" s="89"/>
      <c r="I16" s="89"/>
      <c r="J16" s="89"/>
      <c r="K16" s="89"/>
      <c r="L16" s="89"/>
      <c r="M16" s="106"/>
    </row>
    <row r="17" spans="1:13" ht="15.75" thickBot="1" x14ac:dyDescent="0.3">
      <c r="A17" s="118" t="s">
        <v>124</v>
      </c>
      <c r="B17" s="114">
        <v>69.5</v>
      </c>
      <c r="C17" s="114">
        <v>118.2</v>
      </c>
      <c r="D17" s="114">
        <v>133.6</v>
      </c>
      <c r="E17" s="89"/>
      <c r="F17" s="89"/>
      <c r="G17" s="89"/>
      <c r="H17" s="89"/>
      <c r="I17" s="89"/>
      <c r="J17" s="89"/>
      <c r="K17" s="89"/>
      <c r="L17" s="89"/>
      <c r="M17" s="106"/>
    </row>
    <row r="18" spans="1:13" ht="15.75" thickBot="1" x14ac:dyDescent="0.3">
      <c r="A18" s="118" t="s">
        <v>125</v>
      </c>
      <c r="B18" s="114">
        <v>55</v>
      </c>
      <c r="C18" s="114">
        <v>94.4</v>
      </c>
      <c r="D18" s="114">
        <v>107.1</v>
      </c>
      <c r="E18" s="89"/>
      <c r="F18" s="89"/>
      <c r="G18" s="89"/>
      <c r="H18" s="121"/>
      <c r="I18" s="89"/>
      <c r="J18" s="89"/>
      <c r="K18" s="89"/>
      <c r="L18" s="89"/>
      <c r="M18" s="106"/>
    </row>
    <row r="19" spans="1:13" ht="15.75" thickBot="1" x14ac:dyDescent="0.3">
      <c r="A19" s="118" t="s">
        <v>126</v>
      </c>
      <c r="B19" s="114">
        <v>37.200000000000003</v>
      </c>
      <c r="C19" s="114">
        <v>64.400000000000006</v>
      </c>
      <c r="D19" s="114">
        <v>73.599999999999994</v>
      </c>
      <c r="E19" s="89"/>
      <c r="F19" s="89"/>
      <c r="G19" s="89"/>
      <c r="H19" s="89"/>
      <c r="I19" s="89"/>
      <c r="J19" s="89"/>
      <c r="K19" s="89"/>
      <c r="L19" s="89"/>
      <c r="M19" s="106"/>
    </row>
    <row r="24" spans="1:13" ht="21.75" customHeight="1" x14ac:dyDescent="0.25">
      <c r="A24" s="44" t="s">
        <v>129</v>
      </c>
    </row>
    <row r="25" spans="1:13" x14ac:dyDescent="0.25">
      <c r="B25" s="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workbookViewId="0">
      <selection activeCell="I14" sqref="I14"/>
    </sheetView>
  </sheetViews>
  <sheetFormatPr defaultColWidth="9.140625" defaultRowHeight="12.75" customHeight="1" x14ac:dyDescent="0.2"/>
  <cols>
    <col min="1" max="1" width="9.140625" style="5"/>
    <col min="2" max="3" width="11.5703125" style="5" customWidth="1"/>
    <col min="4" max="4" width="12.28515625" style="5" customWidth="1"/>
    <col min="5" max="6" width="11.5703125" style="5" customWidth="1"/>
    <col min="7" max="8" width="11.85546875" style="5" customWidth="1"/>
    <col min="9" max="9" width="39.7109375" style="5" customWidth="1"/>
    <col min="10" max="10" width="16.42578125" style="5" customWidth="1"/>
    <col min="11" max="11" width="18" style="5" customWidth="1"/>
    <col min="12" max="16384" width="9.140625" style="5"/>
  </cols>
  <sheetData>
    <row r="1" spans="1:11" x14ac:dyDescent="0.2">
      <c r="A1" s="178" t="s">
        <v>62</v>
      </c>
      <c r="B1" s="178"/>
      <c r="C1" s="178"/>
      <c r="D1" s="178"/>
      <c r="E1" s="178"/>
      <c r="F1" s="178"/>
      <c r="G1" s="178"/>
      <c r="H1" s="178"/>
      <c r="J1" s="6"/>
      <c r="K1" s="6"/>
    </row>
    <row r="2" spans="1:11" x14ac:dyDescent="0.2">
      <c r="A2" s="178"/>
      <c r="B2" s="178"/>
      <c r="C2" s="178"/>
      <c r="D2" s="178"/>
      <c r="E2" s="178"/>
      <c r="F2" s="178"/>
      <c r="G2" s="178"/>
      <c r="H2" s="178"/>
      <c r="J2" s="6"/>
      <c r="K2" s="6"/>
    </row>
    <row r="3" spans="1:11" x14ac:dyDescent="0.2">
      <c r="A3" s="179" t="s">
        <v>63</v>
      </c>
      <c r="B3" s="177"/>
      <c r="C3" s="177"/>
      <c r="D3" s="177"/>
      <c r="E3" s="177"/>
      <c r="F3" s="177"/>
      <c r="G3" s="177"/>
      <c r="H3" s="7"/>
      <c r="J3" s="8"/>
      <c r="K3" s="8"/>
    </row>
    <row r="4" spans="1:11" ht="25.5" customHeight="1" x14ac:dyDescent="0.2">
      <c r="B4" s="9" t="s">
        <v>64</v>
      </c>
      <c r="C4" s="10" t="s">
        <v>65</v>
      </c>
      <c r="D4" s="9" t="s">
        <v>66</v>
      </c>
      <c r="E4" s="11" t="s">
        <v>67</v>
      </c>
      <c r="I4" s="12"/>
      <c r="J4" s="6"/>
      <c r="K4" s="8"/>
    </row>
    <row r="5" spans="1:11" x14ac:dyDescent="0.2">
      <c r="A5" s="13"/>
      <c r="B5" s="14">
        <v>35</v>
      </c>
      <c r="C5" s="15">
        <f>B5/1000</f>
        <v>3.5000000000000003E-2</v>
      </c>
      <c r="D5" s="14">
        <v>1</v>
      </c>
      <c r="E5" s="16">
        <f>D5/C5</f>
        <v>28.571428571428569</v>
      </c>
      <c r="I5" s="12"/>
      <c r="J5" s="17"/>
      <c r="K5" s="6"/>
    </row>
    <row r="6" spans="1:11" x14ac:dyDescent="0.2">
      <c r="B6" s="18"/>
      <c r="D6" s="18"/>
      <c r="I6" s="12"/>
      <c r="J6" s="8"/>
      <c r="K6" s="8"/>
    </row>
    <row r="7" spans="1:11" x14ac:dyDescent="0.2">
      <c r="A7" s="179" t="s">
        <v>68</v>
      </c>
      <c r="B7" s="177"/>
      <c r="C7" s="177"/>
      <c r="D7" s="177"/>
      <c r="E7" s="177"/>
      <c r="F7" s="177"/>
      <c r="G7" s="177"/>
      <c r="H7" s="7"/>
      <c r="I7" s="12"/>
      <c r="J7" s="8"/>
      <c r="K7" s="8"/>
    </row>
    <row r="8" spans="1:11" x14ac:dyDescent="0.2">
      <c r="F8" s="19" t="s">
        <v>69</v>
      </c>
      <c r="I8" s="12"/>
      <c r="J8" s="6"/>
      <c r="K8" s="6"/>
    </row>
    <row r="9" spans="1:11" ht="25.5" customHeight="1" x14ac:dyDescent="0.2">
      <c r="B9" s="9" t="s">
        <v>70</v>
      </c>
      <c r="C9" s="10" t="s">
        <v>71</v>
      </c>
      <c r="D9" s="10" t="s">
        <v>72</v>
      </c>
      <c r="E9" s="10" t="s">
        <v>73</v>
      </c>
      <c r="F9" s="11" t="s">
        <v>74</v>
      </c>
      <c r="I9" s="12"/>
      <c r="J9" s="6"/>
      <c r="K9" s="6"/>
    </row>
    <row r="10" spans="1:11" x14ac:dyDescent="0.2">
      <c r="A10" s="20" t="s">
        <v>75</v>
      </c>
      <c r="B10" s="14">
        <v>35.9</v>
      </c>
      <c r="C10" s="21">
        <f>C5*1000</f>
        <v>35</v>
      </c>
      <c r="D10" s="22">
        <f>B10/(2*C10)</f>
        <v>0.51285714285714279</v>
      </c>
      <c r="E10" s="23">
        <f>2*ATAN(D10)</f>
        <v>0.94776067762987559</v>
      </c>
      <c r="F10" s="24">
        <f>(DEGREES(E10))</f>
        <v>54.302686816650848</v>
      </c>
      <c r="I10" s="12"/>
      <c r="J10" s="6"/>
      <c r="K10" s="6"/>
    </row>
    <row r="11" spans="1:11" x14ac:dyDescent="0.2">
      <c r="A11" s="20" t="s">
        <v>76</v>
      </c>
      <c r="B11" s="14">
        <v>24</v>
      </c>
      <c r="C11" s="21">
        <f>C5*1000</f>
        <v>35</v>
      </c>
      <c r="D11" s="22">
        <f>B11/(2*C11)</f>
        <v>0.34285714285714286</v>
      </c>
      <c r="E11" s="23">
        <f>2*ATAN(D11)</f>
        <v>0.66059470965850731</v>
      </c>
      <c r="F11" s="24">
        <f>(DEGREES(E11))</f>
        <v>37.849288832102467</v>
      </c>
      <c r="I11" s="12"/>
      <c r="J11" s="6"/>
      <c r="K11" s="6"/>
    </row>
    <row r="12" spans="1:11" x14ac:dyDescent="0.2">
      <c r="B12" s="18"/>
      <c r="I12" s="12"/>
      <c r="J12" s="6"/>
      <c r="K12" s="6"/>
    </row>
    <row r="13" spans="1:11" x14ac:dyDescent="0.2">
      <c r="A13" s="179" t="s">
        <v>77</v>
      </c>
      <c r="B13" s="177"/>
      <c r="C13" s="177"/>
      <c r="D13" s="177"/>
      <c r="E13" s="177"/>
      <c r="F13" s="177"/>
      <c r="G13" s="177"/>
      <c r="H13" s="7"/>
      <c r="J13" s="6"/>
      <c r="K13" s="6"/>
    </row>
    <row r="14" spans="1:11" ht="40.5" customHeight="1" x14ac:dyDescent="0.2">
      <c r="B14" s="10" t="s">
        <v>78</v>
      </c>
      <c r="C14" s="10" t="s">
        <v>79</v>
      </c>
      <c r="D14" s="43" t="s">
        <v>112</v>
      </c>
      <c r="E14" s="11" t="s">
        <v>80</v>
      </c>
      <c r="F14" s="11" t="s">
        <v>81</v>
      </c>
      <c r="G14" s="11" t="s">
        <v>82</v>
      </c>
      <c r="H14" s="11" t="s">
        <v>83</v>
      </c>
      <c r="J14" s="6"/>
      <c r="K14" s="6"/>
    </row>
    <row r="15" spans="1:11" x14ac:dyDescent="0.2">
      <c r="A15" s="25" t="s">
        <v>75</v>
      </c>
      <c r="B15" s="26">
        <f>E10</f>
        <v>0.94776067762987559</v>
      </c>
      <c r="C15" s="27">
        <f>D5</f>
        <v>1</v>
      </c>
      <c r="D15" s="14">
        <v>7360</v>
      </c>
      <c r="E15" s="28">
        <f>(TAN((B15/2))*C15)*2</f>
        <v>1.0257142857142856</v>
      </c>
      <c r="F15" s="29">
        <f>(E15/D15)*100</f>
        <v>1.3936335403726708E-2</v>
      </c>
      <c r="G15" s="29">
        <f>F15*10</f>
        <v>0.13936335403726707</v>
      </c>
      <c r="H15" s="30">
        <f>(B10/D15)*1000</f>
        <v>4.8777173913043477</v>
      </c>
      <c r="J15" s="6"/>
      <c r="K15" s="6"/>
    </row>
    <row r="16" spans="1:11" x14ac:dyDescent="0.2">
      <c r="A16" s="25" t="s">
        <v>76</v>
      </c>
      <c r="B16" s="26">
        <f>E11</f>
        <v>0.66059470965850731</v>
      </c>
      <c r="C16" s="27">
        <f>D5</f>
        <v>1</v>
      </c>
      <c r="D16" s="14">
        <v>4912</v>
      </c>
      <c r="E16" s="28">
        <f>(TAN((B16/2))*C16)*2</f>
        <v>0.68571428571428561</v>
      </c>
      <c r="F16" s="29">
        <f>(E16/D16)*100</f>
        <v>1.3959981386691482E-2</v>
      </c>
      <c r="G16" s="29">
        <f>F16*10</f>
        <v>0.13959981386691483</v>
      </c>
      <c r="H16" s="30">
        <f>(B11/D16)*1000</f>
        <v>4.885993485342019</v>
      </c>
      <c r="J16" s="6"/>
      <c r="K16" s="6"/>
    </row>
    <row r="17" spans="1:11" x14ac:dyDescent="0.2">
      <c r="D17" s="18"/>
      <c r="J17" s="6"/>
      <c r="K17" s="6"/>
    </row>
    <row r="18" spans="1:11" x14ac:dyDescent="0.2">
      <c r="A18" s="176" t="s">
        <v>84</v>
      </c>
      <c r="B18" s="177"/>
      <c r="C18" s="177"/>
      <c r="D18" s="177"/>
      <c r="E18" s="177"/>
      <c r="F18" s="177"/>
      <c r="G18" s="177"/>
      <c r="H18" s="7"/>
      <c r="J18" s="6"/>
      <c r="K18" s="6"/>
    </row>
    <row r="19" spans="1:11" ht="38.25" customHeight="1" x14ac:dyDescent="0.2">
      <c r="B19" s="9" t="s">
        <v>85</v>
      </c>
      <c r="C19" s="11" t="s">
        <v>86</v>
      </c>
      <c r="D19" s="11" t="s">
        <v>87</v>
      </c>
      <c r="E19" s="11" t="s">
        <v>88</v>
      </c>
      <c r="J19" s="6"/>
      <c r="K19" s="6"/>
    </row>
    <row r="20" spans="1:11" x14ac:dyDescent="0.2">
      <c r="A20" s="20" t="s">
        <v>75</v>
      </c>
      <c r="B20" s="31">
        <v>0.3</v>
      </c>
      <c r="C20" s="32">
        <f>1-B20</f>
        <v>0.7</v>
      </c>
      <c r="D20" s="30">
        <f>C20*E15</f>
        <v>0.71799999999999986</v>
      </c>
      <c r="E20" s="33"/>
      <c r="J20" s="6"/>
      <c r="K20" s="6"/>
    </row>
    <row r="21" spans="1:11" x14ac:dyDescent="0.2">
      <c r="A21" s="20" t="s">
        <v>76</v>
      </c>
      <c r="B21" s="31">
        <v>0.6</v>
      </c>
      <c r="C21" s="32">
        <f>1-B21</f>
        <v>0.4</v>
      </c>
      <c r="D21" s="30">
        <f>C21*E16</f>
        <v>0.27428571428571424</v>
      </c>
      <c r="E21" s="30">
        <f>D5/D21</f>
        <v>3.6458333333333339</v>
      </c>
      <c r="J21" s="6"/>
      <c r="K21" s="6"/>
    </row>
    <row r="22" spans="1:11" x14ac:dyDescent="0.2">
      <c r="B22" s="18"/>
      <c r="J22" s="6"/>
      <c r="K22" s="6"/>
    </row>
    <row r="23" spans="1:11" x14ac:dyDescent="0.2">
      <c r="A23" s="176" t="s">
        <v>89</v>
      </c>
      <c r="B23" s="177"/>
      <c r="C23" s="177"/>
      <c r="D23" s="177"/>
      <c r="E23" s="177"/>
      <c r="F23" s="177"/>
      <c r="G23" s="177"/>
      <c r="H23" s="7"/>
      <c r="J23" s="6"/>
      <c r="K23" s="6"/>
    </row>
    <row r="24" spans="1:11" ht="38.25" customHeight="1" x14ac:dyDescent="0.2">
      <c r="B24" s="9" t="s">
        <v>90</v>
      </c>
      <c r="C24" s="11" t="s">
        <v>91</v>
      </c>
      <c r="D24" s="11" t="s">
        <v>92</v>
      </c>
      <c r="J24" s="6"/>
      <c r="K24" s="6"/>
    </row>
    <row r="25" spans="1:11" x14ac:dyDescent="0.2">
      <c r="A25" s="13"/>
      <c r="B25" s="34">
        <v>70</v>
      </c>
      <c r="C25" s="28">
        <f>B25*1.609344</f>
        <v>112.65408000000001</v>
      </c>
      <c r="D25" s="30">
        <f>(D21/C25)*(3600/1000)</f>
        <v>8.7651381239682684E-3</v>
      </c>
      <c r="J25" s="6"/>
      <c r="K25" s="6"/>
    </row>
    <row r="26" spans="1:11" x14ac:dyDescent="0.2">
      <c r="B26" s="18"/>
      <c r="J26" s="6"/>
      <c r="K26" s="6"/>
    </row>
    <row r="27" spans="1:11" x14ac:dyDescent="0.2">
      <c r="A27" s="176" t="s">
        <v>93</v>
      </c>
      <c r="B27" s="177"/>
      <c r="C27" s="177"/>
      <c r="D27" s="177"/>
      <c r="E27" s="177"/>
      <c r="F27" s="177"/>
      <c r="G27" s="177"/>
      <c r="H27" s="7"/>
      <c r="J27" s="6"/>
      <c r="K27" s="6"/>
    </row>
    <row r="28" spans="1:11" ht="51" customHeight="1" x14ac:dyDescent="0.2">
      <c r="B28" s="9" t="s">
        <v>94</v>
      </c>
      <c r="C28" s="9" t="s">
        <v>95</v>
      </c>
      <c r="D28" s="9" t="s">
        <v>96</v>
      </c>
      <c r="E28" s="11" t="s">
        <v>97</v>
      </c>
      <c r="F28" s="11" t="s">
        <v>98</v>
      </c>
      <c r="G28" s="11" t="s">
        <v>99</v>
      </c>
      <c r="H28" s="11" t="s">
        <v>100</v>
      </c>
      <c r="J28" s="6"/>
      <c r="K28" s="6"/>
    </row>
    <row r="29" spans="1:11" x14ac:dyDescent="0.2">
      <c r="A29" s="13"/>
      <c r="B29" s="14">
        <v>1.2</v>
      </c>
      <c r="C29" s="14">
        <v>3</v>
      </c>
      <c r="D29" s="14">
        <v>50</v>
      </c>
      <c r="E29" s="35">
        <f>ROUNDUP(IF((((B29*1000)/D20)&lt;1),1,((B29*1000)/D20)),0)</f>
        <v>1672</v>
      </c>
      <c r="F29" s="36">
        <f>ROUNDUP(IF((((C29*1000)/D21)&lt;1),1,((C29*1000)/D21)),0)</f>
        <v>10938</v>
      </c>
      <c r="G29" s="36">
        <f>ROUNDUP((E29*F29),0)</f>
        <v>18288336</v>
      </c>
      <c r="H29" s="30">
        <f>(G29*D29)/1000</f>
        <v>914416.8</v>
      </c>
      <c r="J29" s="6"/>
      <c r="K29" s="6"/>
    </row>
    <row r="30" spans="1:11" x14ac:dyDescent="0.2">
      <c r="B30" s="18"/>
      <c r="C30" s="18"/>
      <c r="D30" s="18"/>
      <c r="J30" s="6"/>
      <c r="K30" s="6"/>
    </row>
  </sheetData>
  <mergeCells count="7">
    <mergeCell ref="A27:G27"/>
    <mergeCell ref="A1:H2"/>
    <mergeCell ref="A3:G3"/>
    <mergeCell ref="A7:G7"/>
    <mergeCell ref="A13:G13"/>
    <mergeCell ref="A18:G18"/>
    <mergeCell ref="A23:G23"/>
  </mergeCells>
  <dataValidations count="2">
    <dataValidation type="whole" errorStyle="warning" allowBlank="1" showInputMessage="1" showErrorMessage="1" prompt="Enter the focal length of the camera (in mm)" sqref="B5" xr:uid="{00000000-0002-0000-0300-000000000000}">
      <formula1>3</formula1>
      <formula2>310</formula2>
    </dataValidation>
    <dataValidation type="custom" allowBlank="1" showErrorMessage="1" sqref="B4" xr:uid="{00000000-0002-0000-0300-000001000000}">
      <formula1>ISNUMBER(SEARCH("Focal Length (mm)", B4))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7"/>
  <sheetViews>
    <sheetView workbookViewId="0">
      <selection activeCell="I15" sqref="I15"/>
    </sheetView>
  </sheetViews>
  <sheetFormatPr defaultRowHeight="12.75" x14ac:dyDescent="0.2"/>
  <cols>
    <col min="1" max="1" width="23.140625" style="38" customWidth="1"/>
    <col min="2" max="3" width="15" style="38" customWidth="1"/>
    <col min="4" max="4" width="22.28515625" style="38" customWidth="1"/>
    <col min="5" max="5" width="13.5703125" style="38" customWidth="1"/>
    <col min="6" max="6" width="22.42578125" style="38" customWidth="1"/>
    <col min="7" max="7" width="16.5703125" style="38" customWidth="1"/>
    <col min="8" max="8" width="21.85546875" style="38" customWidth="1"/>
    <col min="9" max="9" width="17.28515625" style="38" customWidth="1"/>
    <col min="10" max="257" width="9.140625" style="38"/>
    <col min="258" max="258" width="19.5703125" style="38" customWidth="1"/>
    <col min="259" max="259" width="15" style="38" customWidth="1"/>
    <col min="260" max="260" width="17" style="38" customWidth="1"/>
    <col min="261" max="261" width="18.42578125" style="38" customWidth="1"/>
    <col min="262" max="262" width="15.140625" style="38" customWidth="1"/>
    <col min="263" max="263" width="11.140625" style="38" customWidth="1"/>
    <col min="264" max="264" width="12.28515625" style="38" customWidth="1"/>
    <col min="265" max="513" width="9.140625" style="38"/>
    <col min="514" max="514" width="19.5703125" style="38" customWidth="1"/>
    <col min="515" max="515" width="15" style="38" customWidth="1"/>
    <col min="516" max="516" width="17" style="38" customWidth="1"/>
    <col min="517" max="517" width="18.42578125" style="38" customWidth="1"/>
    <col min="518" max="518" width="15.140625" style="38" customWidth="1"/>
    <col min="519" max="519" width="11.140625" style="38" customWidth="1"/>
    <col min="520" max="520" width="12.28515625" style="38" customWidth="1"/>
    <col min="521" max="769" width="9.140625" style="38"/>
    <col min="770" max="770" width="19.5703125" style="38" customWidth="1"/>
    <col min="771" max="771" width="15" style="38" customWidth="1"/>
    <col min="772" max="772" width="17" style="38" customWidth="1"/>
    <col min="773" max="773" width="18.42578125" style="38" customWidth="1"/>
    <col min="774" max="774" width="15.140625" style="38" customWidth="1"/>
    <col min="775" max="775" width="11.140625" style="38" customWidth="1"/>
    <col min="776" max="776" width="12.28515625" style="38" customWidth="1"/>
    <col min="777" max="1025" width="9.140625" style="38"/>
    <col min="1026" max="1026" width="19.5703125" style="38" customWidth="1"/>
    <col min="1027" max="1027" width="15" style="38" customWidth="1"/>
    <col min="1028" max="1028" width="17" style="38" customWidth="1"/>
    <col min="1029" max="1029" width="18.42578125" style="38" customWidth="1"/>
    <col min="1030" max="1030" width="15.140625" style="38" customWidth="1"/>
    <col min="1031" max="1031" width="11.140625" style="38" customWidth="1"/>
    <col min="1032" max="1032" width="12.28515625" style="38" customWidth="1"/>
    <col min="1033" max="1281" width="9.140625" style="38"/>
    <col min="1282" max="1282" width="19.5703125" style="38" customWidth="1"/>
    <col min="1283" max="1283" width="15" style="38" customWidth="1"/>
    <col min="1284" max="1284" width="17" style="38" customWidth="1"/>
    <col min="1285" max="1285" width="18.42578125" style="38" customWidth="1"/>
    <col min="1286" max="1286" width="15.140625" style="38" customWidth="1"/>
    <col min="1287" max="1287" width="11.140625" style="38" customWidth="1"/>
    <col min="1288" max="1288" width="12.28515625" style="38" customWidth="1"/>
    <col min="1289" max="1537" width="9.140625" style="38"/>
    <col min="1538" max="1538" width="19.5703125" style="38" customWidth="1"/>
    <col min="1539" max="1539" width="15" style="38" customWidth="1"/>
    <col min="1540" max="1540" width="17" style="38" customWidth="1"/>
    <col min="1541" max="1541" width="18.42578125" style="38" customWidth="1"/>
    <col min="1542" max="1542" width="15.140625" style="38" customWidth="1"/>
    <col min="1543" max="1543" width="11.140625" style="38" customWidth="1"/>
    <col min="1544" max="1544" width="12.28515625" style="38" customWidth="1"/>
    <col min="1545" max="1793" width="9.140625" style="38"/>
    <col min="1794" max="1794" width="19.5703125" style="38" customWidth="1"/>
    <col min="1795" max="1795" width="15" style="38" customWidth="1"/>
    <col min="1796" max="1796" width="17" style="38" customWidth="1"/>
    <col min="1797" max="1797" width="18.42578125" style="38" customWidth="1"/>
    <col min="1798" max="1798" width="15.140625" style="38" customWidth="1"/>
    <col min="1799" max="1799" width="11.140625" style="38" customWidth="1"/>
    <col min="1800" max="1800" width="12.28515625" style="38" customWidth="1"/>
    <col min="1801" max="2049" width="9.140625" style="38"/>
    <col min="2050" max="2050" width="19.5703125" style="38" customWidth="1"/>
    <col min="2051" max="2051" width="15" style="38" customWidth="1"/>
    <col min="2052" max="2052" width="17" style="38" customWidth="1"/>
    <col min="2053" max="2053" width="18.42578125" style="38" customWidth="1"/>
    <col min="2054" max="2054" width="15.140625" style="38" customWidth="1"/>
    <col min="2055" max="2055" width="11.140625" style="38" customWidth="1"/>
    <col min="2056" max="2056" width="12.28515625" style="38" customWidth="1"/>
    <col min="2057" max="2305" width="9.140625" style="38"/>
    <col min="2306" max="2306" width="19.5703125" style="38" customWidth="1"/>
    <col min="2307" max="2307" width="15" style="38" customWidth="1"/>
    <col min="2308" max="2308" width="17" style="38" customWidth="1"/>
    <col min="2309" max="2309" width="18.42578125" style="38" customWidth="1"/>
    <col min="2310" max="2310" width="15.140625" style="38" customWidth="1"/>
    <col min="2311" max="2311" width="11.140625" style="38" customWidth="1"/>
    <col min="2312" max="2312" width="12.28515625" style="38" customWidth="1"/>
    <col min="2313" max="2561" width="9.140625" style="38"/>
    <col min="2562" max="2562" width="19.5703125" style="38" customWidth="1"/>
    <col min="2563" max="2563" width="15" style="38" customWidth="1"/>
    <col min="2564" max="2564" width="17" style="38" customWidth="1"/>
    <col min="2565" max="2565" width="18.42578125" style="38" customWidth="1"/>
    <col min="2566" max="2566" width="15.140625" style="38" customWidth="1"/>
    <col min="2567" max="2567" width="11.140625" style="38" customWidth="1"/>
    <col min="2568" max="2568" width="12.28515625" style="38" customWidth="1"/>
    <col min="2569" max="2817" width="9.140625" style="38"/>
    <col min="2818" max="2818" width="19.5703125" style="38" customWidth="1"/>
    <col min="2819" max="2819" width="15" style="38" customWidth="1"/>
    <col min="2820" max="2820" width="17" style="38" customWidth="1"/>
    <col min="2821" max="2821" width="18.42578125" style="38" customWidth="1"/>
    <col min="2822" max="2822" width="15.140625" style="38" customWidth="1"/>
    <col min="2823" max="2823" width="11.140625" style="38" customWidth="1"/>
    <col min="2824" max="2824" width="12.28515625" style="38" customWidth="1"/>
    <col min="2825" max="3073" width="9.140625" style="38"/>
    <col min="3074" max="3074" width="19.5703125" style="38" customWidth="1"/>
    <col min="3075" max="3075" width="15" style="38" customWidth="1"/>
    <col min="3076" max="3076" width="17" style="38" customWidth="1"/>
    <col min="3077" max="3077" width="18.42578125" style="38" customWidth="1"/>
    <col min="3078" max="3078" width="15.140625" style="38" customWidth="1"/>
    <col min="3079" max="3079" width="11.140625" style="38" customWidth="1"/>
    <col min="3080" max="3080" width="12.28515625" style="38" customWidth="1"/>
    <col min="3081" max="3329" width="9.140625" style="38"/>
    <col min="3330" max="3330" width="19.5703125" style="38" customWidth="1"/>
    <col min="3331" max="3331" width="15" style="38" customWidth="1"/>
    <col min="3332" max="3332" width="17" style="38" customWidth="1"/>
    <col min="3333" max="3333" width="18.42578125" style="38" customWidth="1"/>
    <col min="3334" max="3334" width="15.140625" style="38" customWidth="1"/>
    <col min="3335" max="3335" width="11.140625" style="38" customWidth="1"/>
    <col min="3336" max="3336" width="12.28515625" style="38" customWidth="1"/>
    <col min="3337" max="3585" width="9.140625" style="38"/>
    <col min="3586" max="3586" width="19.5703125" style="38" customWidth="1"/>
    <col min="3587" max="3587" width="15" style="38" customWidth="1"/>
    <col min="3588" max="3588" width="17" style="38" customWidth="1"/>
    <col min="3589" max="3589" width="18.42578125" style="38" customWidth="1"/>
    <col min="3590" max="3590" width="15.140625" style="38" customWidth="1"/>
    <col min="3591" max="3591" width="11.140625" style="38" customWidth="1"/>
    <col min="3592" max="3592" width="12.28515625" style="38" customWidth="1"/>
    <col min="3593" max="3841" width="9.140625" style="38"/>
    <col min="3842" max="3842" width="19.5703125" style="38" customWidth="1"/>
    <col min="3843" max="3843" width="15" style="38" customWidth="1"/>
    <col min="3844" max="3844" width="17" style="38" customWidth="1"/>
    <col min="3845" max="3845" width="18.42578125" style="38" customWidth="1"/>
    <col min="3846" max="3846" width="15.140625" style="38" customWidth="1"/>
    <col min="3847" max="3847" width="11.140625" style="38" customWidth="1"/>
    <col min="3848" max="3848" width="12.28515625" style="38" customWidth="1"/>
    <col min="3849" max="4097" width="9.140625" style="38"/>
    <col min="4098" max="4098" width="19.5703125" style="38" customWidth="1"/>
    <col min="4099" max="4099" width="15" style="38" customWidth="1"/>
    <col min="4100" max="4100" width="17" style="38" customWidth="1"/>
    <col min="4101" max="4101" width="18.42578125" style="38" customWidth="1"/>
    <col min="4102" max="4102" width="15.140625" style="38" customWidth="1"/>
    <col min="4103" max="4103" width="11.140625" style="38" customWidth="1"/>
    <col min="4104" max="4104" width="12.28515625" style="38" customWidth="1"/>
    <col min="4105" max="4353" width="9.140625" style="38"/>
    <col min="4354" max="4354" width="19.5703125" style="38" customWidth="1"/>
    <col min="4355" max="4355" width="15" style="38" customWidth="1"/>
    <col min="4356" max="4356" width="17" style="38" customWidth="1"/>
    <col min="4357" max="4357" width="18.42578125" style="38" customWidth="1"/>
    <col min="4358" max="4358" width="15.140625" style="38" customWidth="1"/>
    <col min="4359" max="4359" width="11.140625" style="38" customWidth="1"/>
    <col min="4360" max="4360" width="12.28515625" style="38" customWidth="1"/>
    <col min="4361" max="4609" width="9.140625" style="38"/>
    <col min="4610" max="4610" width="19.5703125" style="38" customWidth="1"/>
    <col min="4611" max="4611" width="15" style="38" customWidth="1"/>
    <col min="4612" max="4612" width="17" style="38" customWidth="1"/>
    <col min="4613" max="4613" width="18.42578125" style="38" customWidth="1"/>
    <col min="4614" max="4614" width="15.140625" style="38" customWidth="1"/>
    <col min="4615" max="4615" width="11.140625" style="38" customWidth="1"/>
    <col min="4616" max="4616" width="12.28515625" style="38" customWidth="1"/>
    <col min="4617" max="4865" width="9.140625" style="38"/>
    <col min="4866" max="4866" width="19.5703125" style="38" customWidth="1"/>
    <col min="4867" max="4867" width="15" style="38" customWidth="1"/>
    <col min="4868" max="4868" width="17" style="38" customWidth="1"/>
    <col min="4869" max="4869" width="18.42578125" style="38" customWidth="1"/>
    <col min="4870" max="4870" width="15.140625" style="38" customWidth="1"/>
    <col min="4871" max="4871" width="11.140625" style="38" customWidth="1"/>
    <col min="4872" max="4872" width="12.28515625" style="38" customWidth="1"/>
    <col min="4873" max="5121" width="9.140625" style="38"/>
    <col min="5122" max="5122" width="19.5703125" style="38" customWidth="1"/>
    <col min="5123" max="5123" width="15" style="38" customWidth="1"/>
    <col min="5124" max="5124" width="17" style="38" customWidth="1"/>
    <col min="5125" max="5125" width="18.42578125" style="38" customWidth="1"/>
    <col min="5126" max="5126" width="15.140625" style="38" customWidth="1"/>
    <col min="5127" max="5127" width="11.140625" style="38" customWidth="1"/>
    <col min="5128" max="5128" width="12.28515625" style="38" customWidth="1"/>
    <col min="5129" max="5377" width="9.140625" style="38"/>
    <col min="5378" max="5378" width="19.5703125" style="38" customWidth="1"/>
    <col min="5379" max="5379" width="15" style="38" customWidth="1"/>
    <col min="5380" max="5380" width="17" style="38" customWidth="1"/>
    <col min="5381" max="5381" width="18.42578125" style="38" customWidth="1"/>
    <col min="5382" max="5382" width="15.140625" style="38" customWidth="1"/>
    <col min="5383" max="5383" width="11.140625" style="38" customWidth="1"/>
    <col min="5384" max="5384" width="12.28515625" style="38" customWidth="1"/>
    <col min="5385" max="5633" width="9.140625" style="38"/>
    <col min="5634" max="5634" width="19.5703125" style="38" customWidth="1"/>
    <col min="5635" max="5635" width="15" style="38" customWidth="1"/>
    <col min="5636" max="5636" width="17" style="38" customWidth="1"/>
    <col min="5637" max="5637" width="18.42578125" style="38" customWidth="1"/>
    <col min="5638" max="5638" width="15.140625" style="38" customWidth="1"/>
    <col min="5639" max="5639" width="11.140625" style="38" customWidth="1"/>
    <col min="5640" max="5640" width="12.28515625" style="38" customWidth="1"/>
    <col min="5641" max="5889" width="9.140625" style="38"/>
    <col min="5890" max="5890" width="19.5703125" style="38" customWidth="1"/>
    <col min="5891" max="5891" width="15" style="38" customWidth="1"/>
    <col min="5892" max="5892" width="17" style="38" customWidth="1"/>
    <col min="5893" max="5893" width="18.42578125" style="38" customWidth="1"/>
    <col min="5894" max="5894" width="15.140625" style="38" customWidth="1"/>
    <col min="5895" max="5895" width="11.140625" style="38" customWidth="1"/>
    <col min="5896" max="5896" width="12.28515625" style="38" customWidth="1"/>
    <col min="5897" max="6145" width="9.140625" style="38"/>
    <col min="6146" max="6146" width="19.5703125" style="38" customWidth="1"/>
    <col min="6147" max="6147" width="15" style="38" customWidth="1"/>
    <col min="6148" max="6148" width="17" style="38" customWidth="1"/>
    <col min="6149" max="6149" width="18.42578125" style="38" customWidth="1"/>
    <col min="6150" max="6150" width="15.140625" style="38" customWidth="1"/>
    <col min="6151" max="6151" width="11.140625" style="38" customWidth="1"/>
    <col min="6152" max="6152" width="12.28515625" style="38" customWidth="1"/>
    <col min="6153" max="6401" width="9.140625" style="38"/>
    <col min="6402" max="6402" width="19.5703125" style="38" customWidth="1"/>
    <col min="6403" max="6403" width="15" style="38" customWidth="1"/>
    <col min="6404" max="6404" width="17" style="38" customWidth="1"/>
    <col min="6405" max="6405" width="18.42578125" style="38" customWidth="1"/>
    <col min="6406" max="6406" width="15.140625" style="38" customWidth="1"/>
    <col min="6407" max="6407" width="11.140625" style="38" customWidth="1"/>
    <col min="6408" max="6408" width="12.28515625" style="38" customWidth="1"/>
    <col min="6409" max="6657" width="9.140625" style="38"/>
    <col min="6658" max="6658" width="19.5703125" style="38" customWidth="1"/>
    <col min="6659" max="6659" width="15" style="38" customWidth="1"/>
    <col min="6660" max="6660" width="17" style="38" customWidth="1"/>
    <col min="6661" max="6661" width="18.42578125" style="38" customWidth="1"/>
    <col min="6662" max="6662" width="15.140625" style="38" customWidth="1"/>
    <col min="6663" max="6663" width="11.140625" style="38" customWidth="1"/>
    <col min="6664" max="6664" width="12.28515625" style="38" customWidth="1"/>
    <col min="6665" max="6913" width="9.140625" style="38"/>
    <col min="6914" max="6914" width="19.5703125" style="38" customWidth="1"/>
    <col min="6915" max="6915" width="15" style="38" customWidth="1"/>
    <col min="6916" max="6916" width="17" style="38" customWidth="1"/>
    <col min="6917" max="6917" width="18.42578125" style="38" customWidth="1"/>
    <col min="6918" max="6918" width="15.140625" style="38" customWidth="1"/>
    <col min="6919" max="6919" width="11.140625" style="38" customWidth="1"/>
    <col min="6920" max="6920" width="12.28515625" style="38" customWidth="1"/>
    <col min="6921" max="7169" width="9.140625" style="38"/>
    <col min="7170" max="7170" width="19.5703125" style="38" customWidth="1"/>
    <col min="7171" max="7171" width="15" style="38" customWidth="1"/>
    <col min="7172" max="7172" width="17" style="38" customWidth="1"/>
    <col min="7173" max="7173" width="18.42578125" style="38" customWidth="1"/>
    <col min="7174" max="7174" width="15.140625" style="38" customWidth="1"/>
    <col min="7175" max="7175" width="11.140625" style="38" customWidth="1"/>
    <col min="7176" max="7176" width="12.28515625" style="38" customWidth="1"/>
    <col min="7177" max="7425" width="9.140625" style="38"/>
    <col min="7426" max="7426" width="19.5703125" style="38" customWidth="1"/>
    <col min="7427" max="7427" width="15" style="38" customWidth="1"/>
    <col min="7428" max="7428" width="17" style="38" customWidth="1"/>
    <col min="7429" max="7429" width="18.42578125" style="38" customWidth="1"/>
    <col min="7430" max="7430" width="15.140625" style="38" customWidth="1"/>
    <col min="7431" max="7431" width="11.140625" style="38" customWidth="1"/>
    <col min="7432" max="7432" width="12.28515625" style="38" customWidth="1"/>
    <col min="7433" max="7681" width="9.140625" style="38"/>
    <col min="7682" max="7682" width="19.5703125" style="38" customWidth="1"/>
    <col min="7683" max="7683" width="15" style="38" customWidth="1"/>
    <col min="7684" max="7684" width="17" style="38" customWidth="1"/>
    <col min="7685" max="7685" width="18.42578125" style="38" customWidth="1"/>
    <col min="7686" max="7686" width="15.140625" style="38" customWidth="1"/>
    <col min="7687" max="7687" width="11.140625" style="38" customWidth="1"/>
    <col min="7688" max="7688" width="12.28515625" style="38" customWidth="1"/>
    <col min="7689" max="7937" width="9.140625" style="38"/>
    <col min="7938" max="7938" width="19.5703125" style="38" customWidth="1"/>
    <col min="7939" max="7939" width="15" style="38" customWidth="1"/>
    <col min="7940" max="7940" width="17" style="38" customWidth="1"/>
    <col min="7941" max="7941" width="18.42578125" style="38" customWidth="1"/>
    <col min="7942" max="7942" width="15.140625" style="38" customWidth="1"/>
    <col min="7943" max="7943" width="11.140625" style="38" customWidth="1"/>
    <col min="7944" max="7944" width="12.28515625" style="38" customWidth="1"/>
    <col min="7945" max="8193" width="9.140625" style="38"/>
    <col min="8194" max="8194" width="19.5703125" style="38" customWidth="1"/>
    <col min="8195" max="8195" width="15" style="38" customWidth="1"/>
    <col min="8196" max="8196" width="17" style="38" customWidth="1"/>
    <col min="8197" max="8197" width="18.42578125" style="38" customWidth="1"/>
    <col min="8198" max="8198" width="15.140625" style="38" customWidth="1"/>
    <col min="8199" max="8199" width="11.140625" style="38" customWidth="1"/>
    <col min="8200" max="8200" width="12.28515625" style="38" customWidth="1"/>
    <col min="8201" max="8449" width="9.140625" style="38"/>
    <col min="8450" max="8450" width="19.5703125" style="38" customWidth="1"/>
    <col min="8451" max="8451" width="15" style="38" customWidth="1"/>
    <col min="8452" max="8452" width="17" style="38" customWidth="1"/>
    <col min="8453" max="8453" width="18.42578125" style="38" customWidth="1"/>
    <col min="8454" max="8454" width="15.140625" style="38" customWidth="1"/>
    <col min="8455" max="8455" width="11.140625" style="38" customWidth="1"/>
    <col min="8456" max="8456" width="12.28515625" style="38" customWidth="1"/>
    <col min="8457" max="8705" width="9.140625" style="38"/>
    <col min="8706" max="8706" width="19.5703125" style="38" customWidth="1"/>
    <col min="8707" max="8707" width="15" style="38" customWidth="1"/>
    <col min="8708" max="8708" width="17" style="38" customWidth="1"/>
    <col min="8709" max="8709" width="18.42578125" style="38" customWidth="1"/>
    <col min="8710" max="8710" width="15.140625" style="38" customWidth="1"/>
    <col min="8711" max="8711" width="11.140625" style="38" customWidth="1"/>
    <col min="8712" max="8712" width="12.28515625" style="38" customWidth="1"/>
    <col min="8713" max="8961" width="9.140625" style="38"/>
    <col min="8962" max="8962" width="19.5703125" style="38" customWidth="1"/>
    <col min="8963" max="8963" width="15" style="38" customWidth="1"/>
    <col min="8964" max="8964" width="17" style="38" customWidth="1"/>
    <col min="8965" max="8965" width="18.42578125" style="38" customWidth="1"/>
    <col min="8966" max="8966" width="15.140625" style="38" customWidth="1"/>
    <col min="8967" max="8967" width="11.140625" style="38" customWidth="1"/>
    <col min="8968" max="8968" width="12.28515625" style="38" customWidth="1"/>
    <col min="8969" max="9217" width="9.140625" style="38"/>
    <col min="9218" max="9218" width="19.5703125" style="38" customWidth="1"/>
    <col min="9219" max="9219" width="15" style="38" customWidth="1"/>
    <col min="9220" max="9220" width="17" style="38" customWidth="1"/>
    <col min="9221" max="9221" width="18.42578125" style="38" customWidth="1"/>
    <col min="9222" max="9222" width="15.140625" style="38" customWidth="1"/>
    <col min="9223" max="9223" width="11.140625" style="38" customWidth="1"/>
    <col min="9224" max="9224" width="12.28515625" style="38" customWidth="1"/>
    <col min="9225" max="9473" width="9.140625" style="38"/>
    <col min="9474" max="9474" width="19.5703125" style="38" customWidth="1"/>
    <col min="9475" max="9475" width="15" style="38" customWidth="1"/>
    <col min="9476" max="9476" width="17" style="38" customWidth="1"/>
    <col min="9477" max="9477" width="18.42578125" style="38" customWidth="1"/>
    <col min="9478" max="9478" width="15.140625" style="38" customWidth="1"/>
    <col min="9479" max="9479" width="11.140625" style="38" customWidth="1"/>
    <col min="9480" max="9480" width="12.28515625" style="38" customWidth="1"/>
    <col min="9481" max="9729" width="9.140625" style="38"/>
    <col min="9730" max="9730" width="19.5703125" style="38" customWidth="1"/>
    <col min="9731" max="9731" width="15" style="38" customWidth="1"/>
    <col min="9732" max="9732" width="17" style="38" customWidth="1"/>
    <col min="9733" max="9733" width="18.42578125" style="38" customWidth="1"/>
    <col min="9734" max="9734" width="15.140625" style="38" customWidth="1"/>
    <col min="9735" max="9735" width="11.140625" style="38" customWidth="1"/>
    <col min="9736" max="9736" width="12.28515625" style="38" customWidth="1"/>
    <col min="9737" max="9985" width="9.140625" style="38"/>
    <col min="9986" max="9986" width="19.5703125" style="38" customWidth="1"/>
    <col min="9987" max="9987" width="15" style="38" customWidth="1"/>
    <col min="9988" max="9988" width="17" style="38" customWidth="1"/>
    <col min="9989" max="9989" width="18.42578125" style="38" customWidth="1"/>
    <col min="9990" max="9990" width="15.140625" style="38" customWidth="1"/>
    <col min="9991" max="9991" width="11.140625" style="38" customWidth="1"/>
    <col min="9992" max="9992" width="12.28515625" style="38" customWidth="1"/>
    <col min="9993" max="10241" width="9.140625" style="38"/>
    <col min="10242" max="10242" width="19.5703125" style="38" customWidth="1"/>
    <col min="10243" max="10243" width="15" style="38" customWidth="1"/>
    <col min="10244" max="10244" width="17" style="38" customWidth="1"/>
    <col min="10245" max="10245" width="18.42578125" style="38" customWidth="1"/>
    <col min="10246" max="10246" width="15.140625" style="38" customWidth="1"/>
    <col min="10247" max="10247" width="11.140625" style="38" customWidth="1"/>
    <col min="10248" max="10248" width="12.28515625" style="38" customWidth="1"/>
    <col min="10249" max="10497" width="9.140625" style="38"/>
    <col min="10498" max="10498" width="19.5703125" style="38" customWidth="1"/>
    <col min="10499" max="10499" width="15" style="38" customWidth="1"/>
    <col min="10500" max="10500" width="17" style="38" customWidth="1"/>
    <col min="10501" max="10501" width="18.42578125" style="38" customWidth="1"/>
    <col min="10502" max="10502" width="15.140625" style="38" customWidth="1"/>
    <col min="10503" max="10503" width="11.140625" style="38" customWidth="1"/>
    <col min="10504" max="10504" width="12.28515625" style="38" customWidth="1"/>
    <col min="10505" max="10753" width="9.140625" style="38"/>
    <col min="10754" max="10754" width="19.5703125" style="38" customWidth="1"/>
    <col min="10755" max="10755" width="15" style="38" customWidth="1"/>
    <col min="10756" max="10756" width="17" style="38" customWidth="1"/>
    <col min="10757" max="10757" width="18.42578125" style="38" customWidth="1"/>
    <col min="10758" max="10758" width="15.140625" style="38" customWidth="1"/>
    <col min="10759" max="10759" width="11.140625" style="38" customWidth="1"/>
    <col min="10760" max="10760" width="12.28515625" style="38" customWidth="1"/>
    <col min="10761" max="11009" width="9.140625" style="38"/>
    <col min="11010" max="11010" width="19.5703125" style="38" customWidth="1"/>
    <col min="11011" max="11011" width="15" style="38" customWidth="1"/>
    <col min="11012" max="11012" width="17" style="38" customWidth="1"/>
    <col min="11013" max="11013" width="18.42578125" style="38" customWidth="1"/>
    <col min="11014" max="11014" width="15.140625" style="38" customWidth="1"/>
    <col min="11015" max="11015" width="11.140625" style="38" customWidth="1"/>
    <col min="11016" max="11016" width="12.28515625" style="38" customWidth="1"/>
    <col min="11017" max="11265" width="9.140625" style="38"/>
    <col min="11266" max="11266" width="19.5703125" style="38" customWidth="1"/>
    <col min="11267" max="11267" width="15" style="38" customWidth="1"/>
    <col min="11268" max="11268" width="17" style="38" customWidth="1"/>
    <col min="11269" max="11269" width="18.42578125" style="38" customWidth="1"/>
    <col min="11270" max="11270" width="15.140625" style="38" customWidth="1"/>
    <col min="11271" max="11271" width="11.140625" style="38" customWidth="1"/>
    <col min="11272" max="11272" width="12.28515625" style="38" customWidth="1"/>
    <col min="11273" max="11521" width="9.140625" style="38"/>
    <col min="11522" max="11522" width="19.5703125" style="38" customWidth="1"/>
    <col min="11523" max="11523" width="15" style="38" customWidth="1"/>
    <col min="11524" max="11524" width="17" style="38" customWidth="1"/>
    <col min="11525" max="11525" width="18.42578125" style="38" customWidth="1"/>
    <col min="11526" max="11526" width="15.140625" style="38" customWidth="1"/>
    <col min="11527" max="11527" width="11.140625" style="38" customWidth="1"/>
    <col min="11528" max="11528" width="12.28515625" style="38" customWidth="1"/>
    <col min="11529" max="11777" width="9.140625" style="38"/>
    <col min="11778" max="11778" width="19.5703125" style="38" customWidth="1"/>
    <col min="11779" max="11779" width="15" style="38" customWidth="1"/>
    <col min="11780" max="11780" width="17" style="38" customWidth="1"/>
    <col min="11781" max="11781" width="18.42578125" style="38" customWidth="1"/>
    <col min="11782" max="11782" width="15.140625" style="38" customWidth="1"/>
    <col min="11783" max="11783" width="11.140625" style="38" customWidth="1"/>
    <col min="11784" max="11784" width="12.28515625" style="38" customWidth="1"/>
    <col min="11785" max="12033" width="9.140625" style="38"/>
    <col min="12034" max="12034" width="19.5703125" style="38" customWidth="1"/>
    <col min="12035" max="12035" width="15" style="38" customWidth="1"/>
    <col min="12036" max="12036" width="17" style="38" customWidth="1"/>
    <col min="12037" max="12037" width="18.42578125" style="38" customWidth="1"/>
    <col min="12038" max="12038" width="15.140625" style="38" customWidth="1"/>
    <col min="12039" max="12039" width="11.140625" style="38" customWidth="1"/>
    <col min="12040" max="12040" width="12.28515625" style="38" customWidth="1"/>
    <col min="12041" max="12289" width="9.140625" style="38"/>
    <col min="12290" max="12290" width="19.5703125" style="38" customWidth="1"/>
    <col min="12291" max="12291" width="15" style="38" customWidth="1"/>
    <col min="12292" max="12292" width="17" style="38" customWidth="1"/>
    <col min="12293" max="12293" width="18.42578125" style="38" customWidth="1"/>
    <col min="12294" max="12294" width="15.140625" style="38" customWidth="1"/>
    <col min="12295" max="12295" width="11.140625" style="38" customWidth="1"/>
    <col min="12296" max="12296" width="12.28515625" style="38" customWidth="1"/>
    <col min="12297" max="12545" width="9.140625" style="38"/>
    <col min="12546" max="12546" width="19.5703125" style="38" customWidth="1"/>
    <col min="12547" max="12547" width="15" style="38" customWidth="1"/>
    <col min="12548" max="12548" width="17" style="38" customWidth="1"/>
    <col min="12549" max="12549" width="18.42578125" style="38" customWidth="1"/>
    <col min="12550" max="12550" width="15.140625" style="38" customWidth="1"/>
    <col min="12551" max="12551" width="11.140625" style="38" customWidth="1"/>
    <col min="12552" max="12552" width="12.28515625" style="38" customWidth="1"/>
    <col min="12553" max="12801" width="9.140625" style="38"/>
    <col min="12802" max="12802" width="19.5703125" style="38" customWidth="1"/>
    <col min="12803" max="12803" width="15" style="38" customWidth="1"/>
    <col min="12804" max="12804" width="17" style="38" customWidth="1"/>
    <col min="12805" max="12805" width="18.42578125" style="38" customWidth="1"/>
    <col min="12806" max="12806" width="15.140625" style="38" customWidth="1"/>
    <col min="12807" max="12807" width="11.140625" style="38" customWidth="1"/>
    <col min="12808" max="12808" width="12.28515625" style="38" customWidth="1"/>
    <col min="12809" max="13057" width="9.140625" style="38"/>
    <col min="13058" max="13058" width="19.5703125" style="38" customWidth="1"/>
    <col min="13059" max="13059" width="15" style="38" customWidth="1"/>
    <col min="13060" max="13060" width="17" style="38" customWidth="1"/>
    <col min="13061" max="13061" width="18.42578125" style="38" customWidth="1"/>
    <col min="13062" max="13062" width="15.140625" style="38" customWidth="1"/>
    <col min="13063" max="13063" width="11.140625" style="38" customWidth="1"/>
    <col min="13064" max="13064" width="12.28515625" style="38" customWidth="1"/>
    <col min="13065" max="13313" width="9.140625" style="38"/>
    <col min="13314" max="13314" width="19.5703125" style="38" customWidth="1"/>
    <col min="13315" max="13315" width="15" style="38" customWidth="1"/>
    <col min="13316" max="13316" width="17" style="38" customWidth="1"/>
    <col min="13317" max="13317" width="18.42578125" style="38" customWidth="1"/>
    <col min="13318" max="13318" width="15.140625" style="38" customWidth="1"/>
    <col min="13319" max="13319" width="11.140625" style="38" customWidth="1"/>
    <col min="13320" max="13320" width="12.28515625" style="38" customWidth="1"/>
    <col min="13321" max="13569" width="9.140625" style="38"/>
    <col min="13570" max="13570" width="19.5703125" style="38" customWidth="1"/>
    <col min="13571" max="13571" width="15" style="38" customWidth="1"/>
    <col min="13572" max="13572" width="17" style="38" customWidth="1"/>
    <col min="13573" max="13573" width="18.42578125" style="38" customWidth="1"/>
    <col min="13574" max="13574" width="15.140625" style="38" customWidth="1"/>
    <col min="13575" max="13575" width="11.140625" style="38" customWidth="1"/>
    <col min="13576" max="13576" width="12.28515625" style="38" customWidth="1"/>
    <col min="13577" max="13825" width="9.140625" style="38"/>
    <col min="13826" max="13826" width="19.5703125" style="38" customWidth="1"/>
    <col min="13827" max="13827" width="15" style="38" customWidth="1"/>
    <col min="13828" max="13828" width="17" style="38" customWidth="1"/>
    <col min="13829" max="13829" width="18.42578125" style="38" customWidth="1"/>
    <col min="13830" max="13830" width="15.140625" style="38" customWidth="1"/>
    <col min="13831" max="13831" width="11.140625" style="38" customWidth="1"/>
    <col min="13832" max="13832" width="12.28515625" style="38" customWidth="1"/>
    <col min="13833" max="14081" width="9.140625" style="38"/>
    <col min="14082" max="14082" width="19.5703125" style="38" customWidth="1"/>
    <col min="14083" max="14083" width="15" style="38" customWidth="1"/>
    <col min="14084" max="14084" width="17" style="38" customWidth="1"/>
    <col min="14085" max="14085" width="18.42578125" style="38" customWidth="1"/>
    <col min="14086" max="14086" width="15.140625" style="38" customWidth="1"/>
    <col min="14087" max="14087" width="11.140625" style="38" customWidth="1"/>
    <col min="14088" max="14088" width="12.28515625" style="38" customWidth="1"/>
    <col min="14089" max="14337" width="9.140625" style="38"/>
    <col min="14338" max="14338" width="19.5703125" style="38" customWidth="1"/>
    <col min="14339" max="14339" width="15" style="38" customWidth="1"/>
    <col min="14340" max="14340" width="17" style="38" customWidth="1"/>
    <col min="14341" max="14341" width="18.42578125" style="38" customWidth="1"/>
    <col min="14342" max="14342" width="15.140625" style="38" customWidth="1"/>
    <col min="14343" max="14343" width="11.140625" style="38" customWidth="1"/>
    <col min="14344" max="14344" width="12.28515625" style="38" customWidth="1"/>
    <col min="14345" max="14593" width="9.140625" style="38"/>
    <col min="14594" max="14594" width="19.5703125" style="38" customWidth="1"/>
    <col min="14595" max="14595" width="15" style="38" customWidth="1"/>
    <col min="14596" max="14596" width="17" style="38" customWidth="1"/>
    <col min="14597" max="14597" width="18.42578125" style="38" customWidth="1"/>
    <col min="14598" max="14598" width="15.140625" style="38" customWidth="1"/>
    <col min="14599" max="14599" width="11.140625" style="38" customWidth="1"/>
    <col min="14600" max="14600" width="12.28515625" style="38" customWidth="1"/>
    <col min="14601" max="14849" width="9.140625" style="38"/>
    <col min="14850" max="14850" width="19.5703125" style="38" customWidth="1"/>
    <col min="14851" max="14851" width="15" style="38" customWidth="1"/>
    <col min="14852" max="14852" width="17" style="38" customWidth="1"/>
    <col min="14853" max="14853" width="18.42578125" style="38" customWidth="1"/>
    <col min="14854" max="14854" width="15.140625" style="38" customWidth="1"/>
    <col min="14855" max="14855" width="11.140625" style="38" customWidth="1"/>
    <col min="14856" max="14856" width="12.28515625" style="38" customWidth="1"/>
    <col min="14857" max="15105" width="9.140625" style="38"/>
    <col min="15106" max="15106" width="19.5703125" style="38" customWidth="1"/>
    <col min="15107" max="15107" width="15" style="38" customWidth="1"/>
    <col min="15108" max="15108" width="17" style="38" customWidth="1"/>
    <col min="15109" max="15109" width="18.42578125" style="38" customWidth="1"/>
    <col min="15110" max="15110" width="15.140625" style="38" customWidth="1"/>
    <col min="15111" max="15111" width="11.140625" style="38" customWidth="1"/>
    <col min="15112" max="15112" width="12.28515625" style="38" customWidth="1"/>
    <col min="15113" max="15361" width="9.140625" style="38"/>
    <col min="15362" max="15362" width="19.5703125" style="38" customWidth="1"/>
    <col min="15363" max="15363" width="15" style="38" customWidth="1"/>
    <col min="15364" max="15364" width="17" style="38" customWidth="1"/>
    <col min="15365" max="15365" width="18.42578125" style="38" customWidth="1"/>
    <col min="15366" max="15366" width="15.140625" style="38" customWidth="1"/>
    <col min="15367" max="15367" width="11.140625" style="38" customWidth="1"/>
    <col min="15368" max="15368" width="12.28515625" style="38" customWidth="1"/>
    <col min="15369" max="15617" width="9.140625" style="38"/>
    <col min="15618" max="15618" width="19.5703125" style="38" customWidth="1"/>
    <col min="15619" max="15619" width="15" style="38" customWidth="1"/>
    <col min="15620" max="15620" width="17" style="38" customWidth="1"/>
    <col min="15621" max="15621" width="18.42578125" style="38" customWidth="1"/>
    <col min="15622" max="15622" width="15.140625" style="38" customWidth="1"/>
    <col min="15623" max="15623" width="11.140625" style="38" customWidth="1"/>
    <col min="15624" max="15624" width="12.28515625" style="38" customWidth="1"/>
    <col min="15625" max="15873" width="9.140625" style="38"/>
    <col min="15874" max="15874" width="19.5703125" style="38" customWidth="1"/>
    <col min="15875" max="15875" width="15" style="38" customWidth="1"/>
    <col min="15876" max="15876" width="17" style="38" customWidth="1"/>
    <col min="15877" max="15877" width="18.42578125" style="38" customWidth="1"/>
    <col min="15878" max="15878" width="15.140625" style="38" customWidth="1"/>
    <col min="15879" max="15879" width="11.140625" style="38" customWidth="1"/>
    <col min="15880" max="15880" width="12.28515625" style="38" customWidth="1"/>
    <col min="15881" max="16129" width="9.140625" style="38"/>
    <col min="16130" max="16130" width="19.5703125" style="38" customWidth="1"/>
    <col min="16131" max="16131" width="15" style="38" customWidth="1"/>
    <col min="16132" max="16132" width="17" style="38" customWidth="1"/>
    <col min="16133" max="16133" width="18.42578125" style="38" customWidth="1"/>
    <col min="16134" max="16134" width="15.140625" style="38" customWidth="1"/>
    <col min="16135" max="16135" width="11.140625" style="38" customWidth="1"/>
    <col min="16136" max="16136" width="12.28515625" style="38" customWidth="1"/>
    <col min="16137" max="16384" width="9.140625" style="38"/>
  </cols>
  <sheetData>
    <row r="1" spans="1:9" ht="20.25" customHeight="1" x14ac:dyDescent="0.2">
      <c r="I1" s="37" t="s">
        <v>108</v>
      </c>
    </row>
    <row r="2" spans="1:9" ht="15.75" customHeight="1" x14ac:dyDescent="0.25">
      <c r="A2" s="160" t="s">
        <v>155</v>
      </c>
      <c r="B2" s="161"/>
      <c r="C2" s="161"/>
      <c r="D2" s="162"/>
      <c r="E2" s="162"/>
      <c r="F2" s="163"/>
      <c r="G2" s="162"/>
      <c r="H2" s="162"/>
    </row>
    <row r="3" spans="1:9" x14ac:dyDescent="0.2">
      <c r="A3" s="164" t="s">
        <v>101</v>
      </c>
      <c r="B3" s="164" t="s">
        <v>102</v>
      </c>
      <c r="C3" s="164" t="s">
        <v>202</v>
      </c>
      <c r="D3" s="164" t="s">
        <v>103</v>
      </c>
      <c r="E3" s="164" t="s">
        <v>104</v>
      </c>
      <c r="F3" s="164" t="s">
        <v>105</v>
      </c>
      <c r="G3" s="164" t="s">
        <v>106</v>
      </c>
      <c r="H3" s="164" t="s">
        <v>107</v>
      </c>
    </row>
    <row r="4" spans="1:9" x14ac:dyDescent="0.2">
      <c r="A4" s="165">
        <v>35</v>
      </c>
      <c r="B4" s="166">
        <v>4</v>
      </c>
      <c r="C4" s="166">
        <v>2.5000000000000001E-2</v>
      </c>
      <c r="D4" s="167">
        <v>1</v>
      </c>
      <c r="E4" s="168">
        <f>(A4^2/(B4*C4)+A4)/1000</f>
        <v>12.285</v>
      </c>
      <c r="F4" s="168">
        <f>(E4*D4*1000000)/(E4*1000+(D4*1000-A4))/1000</f>
        <v>0.92716981132075471</v>
      </c>
      <c r="G4" s="168">
        <f>(E4*D4*1000000)/(E4*1000-(D4*1000-A4))/1000</f>
        <v>1.0852473498233217</v>
      </c>
      <c r="H4" s="168">
        <f>G4-F4</f>
        <v>0.15807753850256701</v>
      </c>
      <c r="I4" s="39">
        <v>2.5000000000000001E-2</v>
      </c>
    </row>
    <row r="5" spans="1:9" x14ac:dyDescent="0.2">
      <c r="A5" s="122"/>
      <c r="B5" s="122"/>
      <c r="C5" s="122"/>
      <c r="D5" s="122"/>
      <c r="E5" s="122"/>
      <c r="F5" s="122"/>
      <c r="G5" s="122"/>
      <c r="H5" s="122"/>
    </row>
    <row r="6" spans="1:9" ht="13.5" x14ac:dyDescent="0.25">
      <c r="A6" s="150" t="s">
        <v>207</v>
      </c>
      <c r="B6" s="151"/>
      <c r="C6" s="151"/>
      <c r="D6" s="152"/>
      <c r="E6" s="152"/>
      <c r="F6" s="152"/>
      <c r="G6" s="153"/>
      <c r="H6" s="152"/>
    </row>
    <row r="7" spans="1:9" x14ac:dyDescent="0.2">
      <c r="A7" s="154" t="s">
        <v>101</v>
      </c>
      <c r="B7" s="154" t="s">
        <v>102</v>
      </c>
      <c r="C7" s="154" t="s">
        <v>202</v>
      </c>
      <c r="D7" s="154" t="s">
        <v>206</v>
      </c>
      <c r="E7" s="154"/>
      <c r="F7" s="154" t="s">
        <v>199</v>
      </c>
      <c r="G7" s="154" t="s">
        <v>204</v>
      </c>
      <c r="H7" s="154" t="s">
        <v>200</v>
      </c>
    </row>
    <row r="8" spans="1:9" x14ac:dyDescent="0.2">
      <c r="A8" s="155">
        <v>90</v>
      </c>
      <c r="B8" s="156">
        <v>2.8</v>
      </c>
      <c r="C8" s="156">
        <v>2.5000000000000001E-2</v>
      </c>
      <c r="D8" s="157">
        <v>300</v>
      </c>
      <c r="E8" s="158"/>
      <c r="F8" s="158">
        <f>B8*(1+G8)</f>
        <v>5.6</v>
      </c>
      <c r="G8" s="159">
        <v>1</v>
      </c>
      <c r="H8" s="158">
        <f>(2*(B8/A8)*C8*(G8+1))/G8^2</f>
        <v>3.1111111111111114E-3</v>
      </c>
    </row>
    <row r="15" spans="1:9" x14ac:dyDescent="0.2">
      <c r="A15" s="40"/>
      <c r="B15" s="41"/>
      <c r="C15" s="41"/>
      <c r="D15" s="42"/>
      <c r="E15" s="42"/>
      <c r="F15" s="40"/>
      <c r="G15" s="42"/>
      <c r="H15" s="42"/>
    </row>
    <row r="16" spans="1:9" x14ac:dyDescent="0.2">
      <c r="A16" s="40"/>
      <c r="B16" s="41"/>
      <c r="C16" s="41"/>
      <c r="D16" s="42"/>
      <c r="E16" s="42"/>
      <c r="F16" s="40"/>
      <c r="G16" s="42"/>
      <c r="H16" s="42"/>
    </row>
    <row r="17" spans="1:8" x14ac:dyDescent="0.2">
      <c r="A17" s="40"/>
      <c r="B17" s="41"/>
      <c r="C17" s="41"/>
      <c r="D17" s="42"/>
      <c r="E17" s="42"/>
      <c r="F17" s="40"/>
      <c r="G17" s="42"/>
      <c r="H17" s="42"/>
    </row>
    <row r="18" spans="1:8" x14ac:dyDescent="0.2">
      <c r="A18" s="40"/>
      <c r="B18" s="41"/>
      <c r="C18" s="41"/>
      <c r="D18" s="42"/>
      <c r="E18" s="42"/>
      <c r="F18" s="40"/>
      <c r="G18" s="42"/>
      <c r="H18" s="42"/>
    </row>
    <row r="19" spans="1:8" x14ac:dyDescent="0.2">
      <c r="A19" s="40"/>
      <c r="B19" s="41"/>
      <c r="C19" s="41"/>
      <c r="D19" s="42"/>
      <c r="E19" s="42"/>
      <c r="F19" s="40"/>
      <c r="G19" s="42"/>
      <c r="H19" s="42"/>
    </row>
    <row r="20" spans="1:8" x14ac:dyDescent="0.2">
      <c r="A20" s="40"/>
      <c r="B20" s="41" t="s">
        <v>190</v>
      </c>
      <c r="C20" s="41"/>
      <c r="D20" s="42"/>
      <c r="E20" s="42"/>
      <c r="F20" s="40"/>
      <c r="G20" s="42"/>
      <c r="H20" s="42"/>
    </row>
    <row r="21" spans="1:8" x14ac:dyDescent="0.2">
      <c r="A21" s="40"/>
      <c r="B21" s="41"/>
      <c r="C21" s="41"/>
      <c r="D21" s="42"/>
      <c r="E21" s="42"/>
      <c r="F21" s="40"/>
      <c r="G21" s="42"/>
      <c r="H21" s="42"/>
    </row>
    <row r="22" spans="1:8" x14ac:dyDescent="0.2">
      <c r="A22" s="40"/>
      <c r="B22" s="41"/>
      <c r="C22" s="41"/>
      <c r="D22" s="42"/>
      <c r="E22" s="42"/>
      <c r="F22" s="40"/>
      <c r="G22" s="42"/>
      <c r="H22" s="42"/>
    </row>
    <row r="23" spans="1:8" x14ac:dyDescent="0.2">
      <c r="A23" s="40"/>
      <c r="B23" s="41"/>
      <c r="C23" s="41"/>
      <c r="D23" s="42"/>
      <c r="E23" s="42"/>
      <c r="F23" s="40"/>
      <c r="G23" s="42"/>
      <c r="H23" s="42"/>
    </row>
    <row r="24" spans="1:8" x14ac:dyDescent="0.2">
      <c r="A24" s="40"/>
      <c r="B24" s="41"/>
      <c r="C24" s="41"/>
      <c r="D24" s="42"/>
      <c r="E24" s="42"/>
      <c r="F24" s="40"/>
      <c r="G24" s="42"/>
      <c r="H24" s="42"/>
    </row>
    <row r="25" spans="1:8" x14ac:dyDescent="0.2">
      <c r="A25" s="40"/>
      <c r="B25" s="41"/>
      <c r="C25" s="41"/>
      <c r="D25" s="42"/>
      <c r="E25" s="42"/>
      <c r="F25" s="40"/>
      <c r="G25" s="42"/>
      <c r="H25" s="42"/>
    </row>
    <row r="26" spans="1:8" x14ac:dyDescent="0.2">
      <c r="A26" s="40"/>
      <c r="B26" s="41"/>
      <c r="C26" s="41"/>
      <c r="D26" s="42"/>
      <c r="E26" s="42"/>
      <c r="F26" s="40"/>
      <c r="G26" s="42"/>
      <c r="H26" s="42"/>
    </row>
    <row r="27" spans="1:8" x14ac:dyDescent="0.2">
      <c r="A27" s="40"/>
      <c r="B27" s="41"/>
      <c r="C27" s="41"/>
      <c r="D27" s="42"/>
      <c r="E27" s="42"/>
      <c r="F27" s="40"/>
      <c r="G27" s="42"/>
      <c r="H27" s="42"/>
    </row>
    <row r="28" spans="1:8" x14ac:dyDescent="0.2">
      <c r="A28" s="40"/>
      <c r="B28" s="41"/>
      <c r="C28" s="41"/>
      <c r="D28" s="42"/>
      <c r="E28" s="42"/>
      <c r="F28" s="40"/>
      <c r="G28" s="42"/>
      <c r="H28" s="42"/>
    </row>
    <row r="29" spans="1:8" x14ac:dyDescent="0.2">
      <c r="A29" s="40"/>
      <c r="B29" s="41"/>
      <c r="C29" s="41"/>
      <c r="D29" s="42"/>
      <c r="E29" s="42"/>
      <c r="F29" s="40"/>
      <c r="G29" s="42"/>
      <c r="H29" s="42"/>
    </row>
    <row r="30" spans="1:8" x14ac:dyDescent="0.2">
      <c r="A30" s="40"/>
      <c r="B30" s="41"/>
      <c r="C30" s="41"/>
      <c r="D30" s="42"/>
      <c r="E30" s="42"/>
      <c r="F30" s="40"/>
      <c r="G30" s="42"/>
      <c r="H30" s="42"/>
    </row>
    <row r="31" spans="1:8" x14ac:dyDescent="0.2">
      <c r="A31" s="40"/>
      <c r="B31" s="41"/>
      <c r="C31" s="41"/>
      <c r="D31" s="42"/>
      <c r="E31" s="42"/>
      <c r="F31" s="40"/>
      <c r="G31" s="42"/>
      <c r="H31" s="42"/>
    </row>
    <row r="32" spans="1:8" x14ac:dyDescent="0.2">
      <c r="A32" s="40"/>
      <c r="B32" s="41"/>
      <c r="C32" s="41"/>
      <c r="D32" s="42"/>
      <c r="E32" s="42"/>
      <c r="F32" s="42"/>
      <c r="G32" s="42"/>
      <c r="H32" s="42"/>
    </row>
    <row r="33" spans="1:8" x14ac:dyDescent="0.2">
      <c r="A33" s="40"/>
      <c r="B33" s="41"/>
      <c r="C33" s="41"/>
      <c r="D33" s="42"/>
      <c r="E33" s="42"/>
      <c r="F33" s="42"/>
      <c r="G33" s="42"/>
      <c r="H33" s="42"/>
    </row>
    <row r="34" spans="1:8" x14ac:dyDescent="0.2">
      <c r="A34" s="40"/>
      <c r="B34" s="41"/>
      <c r="C34" s="41"/>
      <c r="D34" s="42"/>
      <c r="E34" s="42"/>
      <c r="F34" s="42"/>
      <c r="G34" s="42"/>
      <c r="H34" s="42"/>
    </row>
    <row r="35" spans="1:8" x14ac:dyDescent="0.2">
      <c r="A35" s="40"/>
      <c r="B35" s="41"/>
      <c r="C35" s="41"/>
      <c r="D35" s="42"/>
      <c r="E35" s="42"/>
      <c r="F35" s="42"/>
      <c r="G35" s="42"/>
      <c r="H35" s="42"/>
    </row>
    <row r="36" spans="1:8" x14ac:dyDescent="0.2">
      <c r="A36" s="40"/>
      <c r="B36" s="41"/>
      <c r="C36" s="41"/>
      <c r="D36" s="42"/>
      <c r="E36" s="42"/>
      <c r="F36" s="42"/>
      <c r="G36" s="42"/>
      <c r="H36" s="42"/>
    </row>
    <row r="37" spans="1:8" x14ac:dyDescent="0.2">
      <c r="A37" s="40"/>
      <c r="B37" s="41"/>
      <c r="C37" s="41"/>
      <c r="D37" s="42"/>
      <c r="E37" s="42"/>
      <c r="F37" s="42"/>
      <c r="G37" s="42"/>
      <c r="H37" s="42"/>
    </row>
    <row r="38" spans="1:8" x14ac:dyDescent="0.2">
      <c r="A38" s="40"/>
      <c r="B38" s="41"/>
      <c r="C38" s="41"/>
      <c r="D38" s="42"/>
      <c r="E38" s="42"/>
      <c r="F38" s="42"/>
      <c r="G38" s="42"/>
      <c r="H38" s="42"/>
    </row>
    <row r="39" spans="1:8" x14ac:dyDescent="0.2">
      <c r="A39" s="40"/>
      <c r="B39" s="41"/>
      <c r="C39" s="41"/>
      <c r="D39" s="42"/>
      <c r="E39" s="42"/>
      <c r="F39" s="42"/>
      <c r="G39" s="42"/>
      <c r="H39" s="42"/>
    </row>
    <row r="40" spans="1:8" x14ac:dyDescent="0.2">
      <c r="A40" s="40"/>
      <c r="B40" s="41"/>
      <c r="C40" s="41"/>
      <c r="D40" s="42"/>
      <c r="E40" s="42"/>
      <c r="F40" s="42"/>
      <c r="G40" s="42"/>
      <c r="H40" s="42"/>
    </row>
    <row r="41" spans="1:8" x14ac:dyDescent="0.2">
      <c r="A41" s="40"/>
      <c r="B41" s="41"/>
      <c r="C41" s="41"/>
      <c r="D41" s="42"/>
      <c r="E41" s="42"/>
      <c r="F41" s="42"/>
      <c r="G41" s="42"/>
      <c r="H41" s="42"/>
    </row>
    <row r="42" spans="1:8" x14ac:dyDescent="0.2">
      <c r="A42" s="40"/>
      <c r="B42" s="41"/>
      <c r="C42" s="41"/>
      <c r="D42" s="42"/>
      <c r="E42" s="42"/>
      <c r="F42" s="42"/>
      <c r="G42" s="42"/>
      <c r="H42" s="42"/>
    </row>
    <row r="43" spans="1:8" x14ac:dyDescent="0.2">
      <c r="A43" s="40"/>
      <c r="B43" s="41"/>
      <c r="C43" s="41"/>
      <c r="D43" s="42"/>
      <c r="E43" s="42"/>
      <c r="F43" s="42"/>
      <c r="G43" s="42"/>
      <c r="H43" s="42"/>
    </row>
    <row r="44" spans="1:8" x14ac:dyDescent="0.2">
      <c r="A44" s="40"/>
      <c r="B44" s="41"/>
      <c r="C44" s="41"/>
      <c r="D44" s="42"/>
      <c r="E44" s="42"/>
      <c r="F44" s="42"/>
      <c r="G44" s="42"/>
      <c r="H44" s="42"/>
    </row>
    <row r="45" spans="1:8" x14ac:dyDescent="0.2">
      <c r="A45" s="40"/>
      <c r="B45" s="41"/>
      <c r="C45" s="41"/>
      <c r="D45" s="42"/>
      <c r="E45" s="42"/>
      <c r="F45" s="42"/>
      <c r="G45" s="42"/>
      <c r="H45" s="42"/>
    </row>
    <row r="46" spans="1:8" x14ac:dyDescent="0.2">
      <c r="A46" s="40"/>
      <c r="B46" s="41"/>
      <c r="C46" s="41"/>
      <c r="D46" s="42"/>
      <c r="E46" s="42"/>
      <c r="F46" s="42"/>
      <c r="G46" s="42"/>
      <c r="H46" s="42"/>
    </row>
    <row r="47" spans="1:8" x14ac:dyDescent="0.2">
      <c r="A47" s="40"/>
      <c r="B47" s="41"/>
      <c r="C47" s="41"/>
      <c r="D47" s="42"/>
      <c r="E47" s="42"/>
      <c r="F47" s="42"/>
      <c r="G47" s="42"/>
      <c r="H47" s="42"/>
    </row>
    <row r="48" spans="1:8" x14ac:dyDescent="0.2">
      <c r="A48" s="40"/>
      <c r="B48" s="41"/>
      <c r="C48" s="41"/>
      <c r="D48" s="42"/>
      <c r="E48" s="42"/>
      <c r="F48" s="42"/>
      <c r="G48" s="42"/>
      <c r="H48" s="42"/>
    </row>
    <row r="49" spans="1:8" x14ac:dyDescent="0.2">
      <c r="A49" s="40"/>
      <c r="B49" s="41"/>
      <c r="C49" s="41"/>
      <c r="D49" s="42"/>
      <c r="E49" s="42"/>
      <c r="F49" s="42"/>
      <c r="G49" s="42"/>
      <c r="H49" s="42"/>
    </row>
    <row r="50" spans="1:8" x14ac:dyDescent="0.2">
      <c r="A50" s="40"/>
      <c r="B50" s="41"/>
      <c r="C50" s="41"/>
      <c r="D50" s="42"/>
      <c r="E50" s="42"/>
      <c r="F50" s="42"/>
      <c r="G50" s="42"/>
      <c r="H50" s="42"/>
    </row>
    <row r="51" spans="1:8" x14ac:dyDescent="0.2">
      <c r="A51" s="40"/>
      <c r="B51" s="41"/>
      <c r="C51" s="41"/>
      <c r="D51" s="42"/>
      <c r="E51" s="42"/>
      <c r="F51" s="42"/>
      <c r="G51" s="42"/>
      <c r="H51" s="42"/>
    </row>
    <row r="52" spans="1:8" x14ac:dyDescent="0.2">
      <c r="A52" s="40"/>
      <c r="B52" s="41"/>
      <c r="C52" s="41"/>
      <c r="D52" s="42"/>
      <c r="E52" s="42"/>
      <c r="F52" s="42"/>
      <c r="G52" s="42"/>
      <c r="H52" s="42"/>
    </row>
    <row r="53" spans="1:8" x14ac:dyDescent="0.2">
      <c r="A53" s="40"/>
      <c r="B53" s="41"/>
      <c r="C53" s="41"/>
      <c r="D53" s="42"/>
      <c r="E53" s="42"/>
      <c r="F53" s="42"/>
      <c r="G53" s="42"/>
      <c r="H53" s="42"/>
    </row>
    <row r="54" spans="1:8" x14ac:dyDescent="0.2">
      <c r="A54" s="40"/>
      <c r="B54" s="41"/>
      <c r="C54" s="41"/>
      <c r="D54" s="42"/>
      <c r="E54" s="42"/>
      <c r="F54" s="42"/>
      <c r="G54" s="42"/>
      <c r="H54" s="42"/>
    </row>
    <row r="55" spans="1:8" x14ac:dyDescent="0.2">
      <c r="A55" s="40"/>
      <c r="B55" s="41"/>
      <c r="C55" s="41"/>
      <c r="D55" s="42"/>
      <c r="E55" s="42"/>
      <c r="F55" s="42"/>
      <c r="G55" s="42"/>
      <c r="H55" s="42"/>
    </row>
    <row r="56" spans="1:8" x14ac:dyDescent="0.2">
      <c r="A56" s="40"/>
      <c r="B56" s="41"/>
      <c r="C56" s="41"/>
      <c r="D56" s="42"/>
      <c r="E56" s="42"/>
      <c r="F56" s="42"/>
      <c r="G56" s="42"/>
      <c r="H56" s="42"/>
    </row>
    <row r="57" spans="1:8" x14ac:dyDescent="0.2">
      <c r="A57" s="40"/>
      <c r="B57" s="41"/>
      <c r="C57" s="41"/>
      <c r="D57" s="42"/>
      <c r="E57" s="42"/>
      <c r="F57" s="42"/>
      <c r="G57" s="42"/>
      <c r="H57" s="42"/>
    </row>
    <row r="58" spans="1:8" x14ac:dyDescent="0.2">
      <c r="A58" s="40"/>
      <c r="B58" s="41"/>
      <c r="C58" s="41"/>
      <c r="D58" s="42"/>
      <c r="E58" s="42"/>
      <c r="F58" s="42"/>
      <c r="G58" s="42"/>
      <c r="H58" s="42"/>
    </row>
    <row r="59" spans="1:8" x14ac:dyDescent="0.2">
      <c r="A59" s="40"/>
      <c r="B59" s="41"/>
      <c r="C59" s="41"/>
      <c r="D59" s="42"/>
      <c r="E59" s="42"/>
      <c r="F59" s="42"/>
      <c r="G59" s="42"/>
      <c r="H59" s="42"/>
    </row>
    <row r="60" spans="1:8" x14ac:dyDescent="0.2">
      <c r="A60" s="40"/>
      <c r="B60" s="41"/>
      <c r="C60" s="41"/>
      <c r="D60" s="42"/>
      <c r="E60" s="42"/>
      <c r="F60" s="42"/>
      <c r="G60" s="42"/>
      <c r="H60" s="42"/>
    </row>
    <row r="61" spans="1:8" x14ac:dyDescent="0.2">
      <c r="A61" s="40"/>
      <c r="B61" s="41"/>
      <c r="C61" s="41"/>
      <c r="D61" s="42"/>
      <c r="E61" s="42"/>
      <c r="F61" s="42"/>
      <c r="G61" s="42"/>
      <c r="H61" s="42"/>
    </row>
    <row r="62" spans="1:8" x14ac:dyDescent="0.2">
      <c r="A62" s="40"/>
      <c r="B62" s="41"/>
      <c r="C62" s="41"/>
      <c r="D62" s="42"/>
      <c r="E62" s="42"/>
      <c r="F62" s="42"/>
      <c r="G62" s="42"/>
      <c r="H62" s="42"/>
    </row>
    <row r="63" spans="1:8" x14ac:dyDescent="0.2">
      <c r="A63" s="40"/>
      <c r="B63" s="41"/>
      <c r="C63" s="41"/>
      <c r="D63" s="42"/>
      <c r="E63" s="42"/>
      <c r="F63" s="42"/>
      <c r="G63" s="42"/>
      <c r="H63" s="42"/>
    </row>
    <row r="64" spans="1:8" x14ac:dyDescent="0.2">
      <c r="A64" s="40"/>
      <c r="B64" s="41"/>
      <c r="C64" s="41"/>
      <c r="D64" s="42"/>
      <c r="E64" s="42"/>
      <c r="F64" s="42"/>
      <c r="G64" s="42"/>
      <c r="H64" s="42"/>
    </row>
    <row r="65" spans="1:8" x14ac:dyDescent="0.2">
      <c r="A65" s="40"/>
      <c r="B65" s="41"/>
      <c r="C65" s="41"/>
      <c r="D65" s="42"/>
      <c r="E65" s="42"/>
      <c r="F65" s="42"/>
      <c r="G65" s="42"/>
      <c r="H65" s="42"/>
    </row>
    <row r="66" spans="1:8" x14ac:dyDescent="0.2">
      <c r="A66" s="40"/>
      <c r="B66" s="41"/>
      <c r="C66" s="41"/>
      <c r="D66" s="42"/>
      <c r="E66" s="42"/>
      <c r="F66" s="42"/>
      <c r="G66" s="42"/>
      <c r="H66" s="42"/>
    </row>
    <row r="67" spans="1:8" x14ac:dyDescent="0.2">
      <c r="A67" s="40"/>
      <c r="B67" s="41"/>
      <c r="C67" s="41"/>
      <c r="D67" s="42"/>
      <c r="E67" s="42"/>
      <c r="F67" s="42"/>
      <c r="G67" s="42"/>
      <c r="H67" s="42"/>
    </row>
    <row r="68" spans="1:8" x14ac:dyDescent="0.2">
      <c r="A68" s="40"/>
      <c r="B68" s="41"/>
      <c r="C68" s="41"/>
      <c r="D68" s="42"/>
      <c r="E68" s="42"/>
      <c r="F68" s="42"/>
      <c r="G68" s="42"/>
      <c r="H68" s="42"/>
    </row>
    <row r="69" spans="1:8" x14ac:dyDescent="0.2">
      <c r="A69" s="40"/>
      <c r="B69" s="41"/>
      <c r="C69" s="41"/>
      <c r="D69" s="42"/>
      <c r="E69" s="42"/>
      <c r="F69" s="42"/>
      <c r="G69" s="42"/>
      <c r="H69" s="42"/>
    </row>
    <row r="70" spans="1:8" x14ac:dyDescent="0.2">
      <c r="A70" s="40"/>
      <c r="B70" s="41"/>
      <c r="C70" s="41"/>
      <c r="D70" s="42"/>
      <c r="E70" s="42"/>
      <c r="F70" s="42"/>
      <c r="G70" s="42"/>
      <c r="H70" s="42"/>
    </row>
    <row r="71" spans="1:8" x14ac:dyDescent="0.2">
      <c r="A71" s="40"/>
      <c r="B71" s="41"/>
      <c r="C71" s="41"/>
      <c r="D71" s="42"/>
      <c r="E71" s="42"/>
      <c r="F71" s="42"/>
      <c r="G71" s="42"/>
      <c r="H71" s="42"/>
    </row>
    <row r="72" spans="1:8" x14ac:dyDescent="0.2">
      <c r="A72" s="40"/>
      <c r="B72" s="41"/>
      <c r="C72" s="41"/>
      <c r="D72" s="42"/>
      <c r="E72" s="42"/>
      <c r="F72" s="42"/>
      <c r="G72" s="42"/>
      <c r="H72" s="42"/>
    </row>
    <row r="73" spans="1:8" x14ac:dyDescent="0.2">
      <c r="A73" s="40"/>
      <c r="B73" s="41"/>
      <c r="C73" s="41"/>
      <c r="D73" s="42"/>
      <c r="E73" s="42"/>
      <c r="F73" s="42"/>
      <c r="G73" s="42"/>
      <c r="H73" s="42"/>
    </row>
    <row r="74" spans="1:8" x14ac:dyDescent="0.2">
      <c r="A74" s="40"/>
      <c r="B74" s="41"/>
      <c r="C74" s="41"/>
      <c r="D74" s="42"/>
      <c r="E74" s="42"/>
      <c r="F74" s="42"/>
      <c r="G74" s="42"/>
      <c r="H74" s="42"/>
    </row>
    <row r="75" spans="1:8" x14ac:dyDescent="0.2">
      <c r="A75" s="40"/>
      <c r="B75" s="41"/>
      <c r="C75" s="41"/>
      <c r="D75" s="42"/>
      <c r="E75" s="42"/>
      <c r="F75" s="42"/>
      <c r="G75" s="42"/>
      <c r="H75" s="42"/>
    </row>
    <row r="76" spans="1:8" x14ac:dyDescent="0.2">
      <c r="A76" s="40"/>
      <c r="B76" s="41"/>
      <c r="C76" s="41"/>
      <c r="D76" s="42"/>
      <c r="E76" s="42"/>
      <c r="F76" s="42"/>
      <c r="G76" s="42"/>
      <c r="H76" s="42"/>
    </row>
    <row r="77" spans="1:8" x14ac:dyDescent="0.2">
      <c r="A77" s="40"/>
      <c r="B77" s="41"/>
      <c r="C77" s="41"/>
      <c r="D77" s="42"/>
      <c r="E77" s="42"/>
      <c r="F77" s="42"/>
      <c r="G77" s="42"/>
      <c r="H77" s="42"/>
    </row>
    <row r="78" spans="1:8" x14ac:dyDescent="0.2">
      <c r="A78" s="40"/>
      <c r="B78" s="41"/>
      <c r="C78" s="41"/>
      <c r="D78" s="42"/>
      <c r="E78" s="42"/>
      <c r="F78" s="42"/>
      <c r="G78" s="42"/>
      <c r="H78" s="42"/>
    </row>
    <row r="79" spans="1:8" x14ac:dyDescent="0.2">
      <c r="A79" s="40"/>
      <c r="B79" s="41"/>
      <c r="C79" s="41"/>
      <c r="D79" s="42"/>
      <c r="E79" s="42"/>
      <c r="F79" s="42"/>
      <c r="G79" s="42"/>
      <c r="H79" s="42"/>
    </row>
    <row r="80" spans="1:8" x14ac:dyDescent="0.2">
      <c r="A80" s="40"/>
      <c r="B80" s="41"/>
      <c r="C80" s="41"/>
      <c r="D80" s="42"/>
      <c r="E80" s="42"/>
      <c r="F80" s="42"/>
      <c r="G80" s="42"/>
      <c r="H80" s="42"/>
    </row>
    <row r="81" spans="1:8" x14ac:dyDescent="0.2">
      <c r="A81" s="40"/>
      <c r="B81" s="41"/>
      <c r="C81" s="41"/>
      <c r="D81" s="42"/>
      <c r="E81" s="42"/>
      <c r="F81" s="42"/>
      <c r="G81" s="42"/>
      <c r="H81" s="42"/>
    </row>
    <row r="82" spans="1:8" x14ac:dyDescent="0.2">
      <c r="A82" s="40"/>
      <c r="B82" s="41"/>
      <c r="C82" s="41"/>
      <c r="D82" s="42"/>
      <c r="E82" s="42"/>
      <c r="F82" s="42"/>
      <c r="G82" s="42"/>
      <c r="H82" s="42"/>
    </row>
    <row r="83" spans="1:8" x14ac:dyDescent="0.2">
      <c r="A83" s="40"/>
      <c r="B83" s="41"/>
      <c r="C83" s="41"/>
      <c r="D83" s="42"/>
      <c r="E83" s="42"/>
      <c r="F83" s="42"/>
      <c r="G83" s="42"/>
      <c r="H83" s="42"/>
    </row>
    <row r="84" spans="1:8" x14ac:dyDescent="0.2">
      <c r="A84" s="40"/>
      <c r="B84" s="41"/>
      <c r="C84" s="41"/>
      <c r="D84" s="42"/>
      <c r="E84" s="42"/>
      <c r="F84" s="42"/>
      <c r="G84" s="42"/>
      <c r="H84" s="42"/>
    </row>
    <row r="85" spans="1:8" x14ac:dyDescent="0.2">
      <c r="A85" s="40"/>
      <c r="B85" s="41"/>
      <c r="C85" s="41"/>
      <c r="D85" s="42"/>
      <c r="E85" s="42"/>
      <c r="F85" s="42"/>
      <c r="G85" s="42"/>
      <c r="H85" s="42"/>
    </row>
    <row r="86" spans="1:8" x14ac:dyDescent="0.2">
      <c r="A86" s="40"/>
      <c r="B86" s="41"/>
      <c r="C86" s="41"/>
      <c r="D86" s="42"/>
      <c r="E86" s="42"/>
      <c r="F86" s="42"/>
      <c r="G86" s="42"/>
      <c r="H86" s="42"/>
    </row>
    <row r="87" spans="1:8" x14ac:dyDescent="0.2">
      <c r="A87" s="40"/>
      <c r="B87" s="41"/>
      <c r="C87" s="41"/>
      <c r="D87" s="42"/>
      <c r="E87" s="42"/>
      <c r="F87" s="42"/>
      <c r="G87" s="42"/>
      <c r="H87" s="42"/>
    </row>
    <row r="88" spans="1:8" x14ac:dyDescent="0.2">
      <c r="A88" s="40"/>
      <c r="B88" s="41"/>
      <c r="C88" s="41"/>
      <c r="D88" s="42"/>
      <c r="E88" s="42"/>
      <c r="F88" s="42"/>
      <c r="G88" s="42"/>
      <c r="H88" s="42"/>
    </row>
    <row r="89" spans="1:8" x14ac:dyDescent="0.2">
      <c r="A89" s="40"/>
      <c r="B89" s="41"/>
      <c r="C89" s="41"/>
      <c r="D89" s="42"/>
      <c r="E89" s="42"/>
      <c r="F89" s="42"/>
      <c r="G89" s="42"/>
      <c r="H89" s="42"/>
    </row>
    <row r="90" spans="1:8" x14ac:dyDescent="0.2">
      <c r="A90" s="40"/>
      <c r="B90" s="41"/>
      <c r="C90" s="41"/>
      <c r="D90" s="42"/>
      <c r="E90" s="42"/>
      <c r="F90" s="42"/>
      <c r="G90" s="42"/>
      <c r="H90" s="42"/>
    </row>
    <row r="91" spans="1:8" x14ac:dyDescent="0.2">
      <c r="A91" s="40"/>
      <c r="B91" s="41"/>
      <c r="C91" s="41"/>
      <c r="D91" s="42"/>
      <c r="E91" s="42"/>
      <c r="F91" s="42"/>
      <c r="G91" s="42"/>
      <c r="H91" s="42"/>
    </row>
    <row r="92" spans="1:8" x14ac:dyDescent="0.2">
      <c r="A92" s="40"/>
      <c r="B92" s="41"/>
      <c r="C92" s="41"/>
      <c r="D92" s="42"/>
      <c r="E92" s="42"/>
      <c r="F92" s="42"/>
      <c r="G92" s="42"/>
      <c r="H92" s="42"/>
    </row>
    <row r="93" spans="1:8" x14ac:dyDescent="0.2">
      <c r="A93" s="40"/>
      <c r="B93" s="41"/>
      <c r="C93" s="41"/>
      <c r="D93" s="42"/>
      <c r="E93" s="42"/>
      <c r="F93" s="42"/>
      <c r="G93" s="42"/>
      <c r="H93" s="42"/>
    </row>
    <row r="94" spans="1:8" x14ac:dyDescent="0.2">
      <c r="A94" s="40"/>
      <c r="B94" s="41"/>
      <c r="C94" s="41"/>
      <c r="D94" s="42"/>
      <c r="E94" s="42"/>
      <c r="F94" s="42"/>
      <c r="G94" s="42"/>
      <c r="H94" s="42"/>
    </row>
    <row r="95" spans="1:8" x14ac:dyDescent="0.2">
      <c r="A95" s="40"/>
      <c r="B95" s="41"/>
      <c r="C95" s="41"/>
      <c r="D95" s="42"/>
      <c r="E95" s="42"/>
      <c r="F95" s="42"/>
      <c r="G95" s="42"/>
      <c r="H95" s="42"/>
    </row>
    <row r="96" spans="1:8" x14ac:dyDescent="0.2">
      <c r="A96" s="40"/>
      <c r="B96" s="41"/>
      <c r="C96" s="41"/>
      <c r="D96" s="42"/>
      <c r="E96" s="42"/>
      <c r="F96" s="42"/>
      <c r="G96" s="42"/>
      <c r="H96" s="42"/>
    </row>
    <row r="97" spans="1:8" x14ac:dyDescent="0.2">
      <c r="A97" s="40"/>
      <c r="B97" s="41"/>
      <c r="C97" s="41"/>
      <c r="D97" s="42"/>
      <c r="E97" s="42"/>
      <c r="F97" s="42"/>
      <c r="G97" s="42"/>
      <c r="H97" s="42"/>
    </row>
    <row r="98" spans="1:8" x14ac:dyDescent="0.2">
      <c r="A98" s="40"/>
      <c r="B98" s="41"/>
      <c r="C98" s="41"/>
      <c r="D98" s="42"/>
      <c r="E98" s="42"/>
      <c r="F98" s="42"/>
      <c r="G98" s="42"/>
      <c r="H98" s="42"/>
    </row>
    <row r="99" spans="1:8" x14ac:dyDescent="0.2">
      <c r="A99" s="40"/>
      <c r="B99" s="41"/>
      <c r="C99" s="41"/>
      <c r="D99" s="42"/>
      <c r="E99" s="42"/>
      <c r="F99" s="42"/>
      <c r="G99" s="42"/>
      <c r="H99" s="42"/>
    </row>
    <row r="100" spans="1:8" x14ac:dyDescent="0.2">
      <c r="A100" s="40"/>
      <c r="B100" s="41"/>
      <c r="C100" s="41"/>
      <c r="D100" s="42"/>
      <c r="E100" s="42"/>
      <c r="F100" s="42"/>
      <c r="G100" s="42"/>
      <c r="H100" s="42"/>
    </row>
    <row r="101" spans="1:8" x14ac:dyDescent="0.2">
      <c r="A101" s="40"/>
      <c r="B101" s="41"/>
      <c r="C101" s="41"/>
      <c r="D101" s="42"/>
      <c r="E101" s="42"/>
      <c r="F101" s="42"/>
      <c r="G101" s="42"/>
      <c r="H101" s="42"/>
    </row>
    <row r="102" spans="1:8" x14ac:dyDescent="0.2">
      <c r="A102" s="40"/>
      <c r="B102" s="41"/>
      <c r="C102" s="41"/>
      <c r="D102" s="42"/>
      <c r="E102" s="42"/>
      <c r="F102" s="42"/>
      <c r="G102" s="42"/>
      <c r="H102" s="42"/>
    </row>
    <row r="103" spans="1:8" x14ac:dyDescent="0.2">
      <c r="A103" s="40"/>
      <c r="B103" s="41"/>
      <c r="C103" s="41"/>
      <c r="D103" s="42"/>
      <c r="E103" s="42"/>
      <c r="F103" s="42"/>
      <c r="G103" s="42"/>
      <c r="H103" s="42"/>
    </row>
    <row r="104" spans="1:8" x14ac:dyDescent="0.2">
      <c r="A104" s="40"/>
      <c r="B104" s="41"/>
      <c r="C104" s="41"/>
      <c r="D104" s="42"/>
      <c r="E104" s="42"/>
      <c r="F104" s="42"/>
      <c r="G104" s="42"/>
      <c r="H104" s="42"/>
    </row>
    <row r="105" spans="1:8" x14ac:dyDescent="0.2">
      <c r="A105" s="40"/>
      <c r="B105" s="41"/>
      <c r="C105" s="41"/>
      <c r="D105" s="42"/>
      <c r="E105" s="42"/>
      <c r="F105" s="42"/>
      <c r="G105" s="42"/>
      <c r="H105" s="42"/>
    </row>
    <row r="106" spans="1:8" x14ac:dyDescent="0.2">
      <c r="A106" s="40"/>
      <c r="B106" s="41"/>
      <c r="C106" s="41"/>
      <c r="D106" s="42"/>
      <c r="E106" s="42"/>
      <c r="F106" s="42"/>
      <c r="G106" s="42"/>
      <c r="H106" s="42"/>
    </row>
    <row r="107" spans="1:8" x14ac:dyDescent="0.2">
      <c r="A107" s="40"/>
      <c r="B107" s="41"/>
      <c r="C107" s="41"/>
      <c r="D107" s="42"/>
      <c r="E107" s="42"/>
      <c r="F107" s="42"/>
      <c r="G107" s="42"/>
      <c r="H107" s="42"/>
    </row>
    <row r="108" spans="1:8" x14ac:dyDescent="0.2">
      <c r="A108" s="40"/>
      <c r="B108" s="41"/>
      <c r="C108" s="41"/>
      <c r="D108" s="42"/>
      <c r="E108" s="42"/>
      <c r="F108" s="42"/>
      <c r="G108" s="42"/>
      <c r="H108" s="42"/>
    </row>
    <row r="109" spans="1:8" x14ac:dyDescent="0.2">
      <c r="A109" s="40"/>
      <c r="B109" s="41"/>
      <c r="C109" s="41"/>
      <c r="D109" s="42"/>
      <c r="E109" s="42"/>
      <c r="F109" s="42"/>
      <c r="G109" s="42"/>
      <c r="H109" s="42"/>
    </row>
    <row r="110" spans="1:8" x14ac:dyDescent="0.2">
      <c r="A110" s="40"/>
      <c r="B110" s="41"/>
      <c r="C110" s="41"/>
      <c r="D110" s="42"/>
      <c r="E110" s="42"/>
      <c r="F110" s="42"/>
      <c r="G110" s="42"/>
      <c r="H110" s="42"/>
    </row>
    <row r="111" spans="1:8" x14ac:dyDescent="0.2">
      <c r="A111" s="40"/>
      <c r="B111" s="41"/>
      <c r="C111" s="41"/>
      <c r="D111" s="42"/>
      <c r="E111" s="42"/>
      <c r="F111" s="42"/>
      <c r="G111" s="42"/>
      <c r="H111" s="42"/>
    </row>
    <row r="112" spans="1:8" x14ac:dyDescent="0.2">
      <c r="A112" s="40"/>
      <c r="B112" s="41"/>
      <c r="C112" s="41"/>
      <c r="D112" s="42"/>
      <c r="E112" s="42"/>
      <c r="F112" s="42"/>
      <c r="G112" s="42"/>
      <c r="H112" s="42"/>
    </row>
    <row r="113" spans="1:8" x14ac:dyDescent="0.2">
      <c r="A113" s="40"/>
      <c r="B113" s="41"/>
      <c r="C113" s="41"/>
      <c r="D113" s="42"/>
      <c r="E113" s="42"/>
      <c r="F113" s="42"/>
      <c r="G113" s="42"/>
      <c r="H113" s="42"/>
    </row>
    <row r="114" spans="1:8" x14ac:dyDescent="0.2">
      <c r="A114" s="40"/>
      <c r="B114" s="41"/>
      <c r="C114" s="41"/>
      <c r="D114" s="42"/>
      <c r="E114" s="42"/>
      <c r="F114" s="42"/>
      <c r="G114" s="42"/>
      <c r="H114" s="42"/>
    </row>
    <row r="115" spans="1:8" x14ac:dyDescent="0.2">
      <c r="A115" s="40"/>
      <c r="B115" s="41"/>
      <c r="C115" s="41"/>
      <c r="D115" s="42"/>
      <c r="E115" s="42"/>
      <c r="F115" s="42"/>
      <c r="G115" s="42"/>
      <c r="H115" s="42"/>
    </row>
    <row r="116" spans="1:8" x14ac:dyDescent="0.2">
      <c r="A116" s="40"/>
      <c r="B116" s="41"/>
      <c r="C116" s="41"/>
      <c r="D116" s="42"/>
      <c r="E116" s="42"/>
      <c r="F116" s="42"/>
      <c r="G116" s="42"/>
      <c r="H116" s="42"/>
    </row>
    <row r="117" spans="1:8" x14ac:dyDescent="0.2">
      <c r="A117" s="40"/>
      <c r="B117" s="41"/>
      <c r="C117" s="41"/>
      <c r="D117" s="42"/>
      <c r="E117" s="42"/>
      <c r="F117" s="42"/>
      <c r="G117" s="42"/>
      <c r="H117" s="42"/>
    </row>
    <row r="118" spans="1:8" x14ac:dyDescent="0.2">
      <c r="A118" s="40"/>
      <c r="B118" s="41"/>
      <c r="C118" s="41"/>
      <c r="D118" s="42"/>
      <c r="E118" s="42"/>
      <c r="F118" s="42"/>
      <c r="G118" s="42"/>
      <c r="H118" s="42"/>
    </row>
    <row r="119" spans="1:8" x14ac:dyDescent="0.2">
      <c r="A119" s="40"/>
      <c r="B119" s="41"/>
      <c r="C119" s="41"/>
      <c r="D119" s="42"/>
      <c r="E119" s="42"/>
      <c r="F119" s="42"/>
      <c r="G119" s="42"/>
      <c r="H119" s="42"/>
    </row>
    <row r="120" spans="1:8" x14ac:dyDescent="0.2">
      <c r="A120" s="40"/>
      <c r="B120" s="41"/>
      <c r="C120" s="41"/>
      <c r="D120" s="42"/>
      <c r="E120" s="42"/>
      <c r="F120" s="42"/>
      <c r="G120" s="42"/>
      <c r="H120" s="42"/>
    </row>
    <row r="121" spans="1:8" x14ac:dyDescent="0.2">
      <c r="A121" s="40"/>
      <c r="B121" s="41"/>
      <c r="C121" s="41"/>
      <c r="D121" s="42"/>
      <c r="E121" s="42"/>
      <c r="F121" s="42"/>
      <c r="G121" s="42"/>
      <c r="H121" s="42"/>
    </row>
    <row r="122" spans="1:8" x14ac:dyDescent="0.2">
      <c r="A122" s="40"/>
      <c r="B122" s="41"/>
      <c r="C122" s="41"/>
      <c r="D122" s="42"/>
      <c r="E122" s="42"/>
      <c r="F122" s="42"/>
      <c r="G122" s="42"/>
      <c r="H122" s="42"/>
    </row>
    <row r="123" spans="1:8" x14ac:dyDescent="0.2">
      <c r="A123" s="40"/>
      <c r="B123" s="41"/>
      <c r="C123" s="41"/>
      <c r="D123" s="42"/>
      <c r="E123" s="42"/>
      <c r="F123" s="42"/>
      <c r="G123" s="42"/>
      <c r="H123" s="42"/>
    </row>
    <row r="124" spans="1:8" x14ac:dyDescent="0.2">
      <c r="A124" s="40"/>
      <c r="B124" s="41"/>
      <c r="C124" s="41"/>
      <c r="D124" s="42"/>
      <c r="E124" s="42"/>
      <c r="F124" s="42"/>
      <c r="G124" s="42"/>
      <c r="H124" s="42"/>
    </row>
    <row r="125" spans="1:8" x14ac:dyDescent="0.2">
      <c r="A125" s="40"/>
      <c r="B125" s="41"/>
      <c r="C125" s="41"/>
      <c r="D125" s="42"/>
      <c r="E125" s="42"/>
      <c r="F125" s="42"/>
      <c r="G125" s="42"/>
      <c r="H125" s="42"/>
    </row>
    <row r="126" spans="1:8" x14ac:dyDescent="0.2">
      <c r="A126" s="40"/>
      <c r="B126" s="41"/>
      <c r="C126" s="41"/>
      <c r="D126" s="42"/>
      <c r="E126" s="42"/>
      <c r="F126" s="42"/>
      <c r="G126" s="42"/>
      <c r="H126" s="42"/>
    </row>
    <row r="127" spans="1:8" x14ac:dyDescent="0.2">
      <c r="A127" s="40"/>
      <c r="B127" s="41"/>
      <c r="C127" s="41"/>
      <c r="D127" s="42"/>
      <c r="E127" s="42"/>
      <c r="F127" s="42"/>
      <c r="G127" s="42"/>
      <c r="H127" s="42"/>
    </row>
    <row r="128" spans="1:8" x14ac:dyDescent="0.2">
      <c r="A128" s="40"/>
      <c r="B128" s="41"/>
      <c r="C128" s="41"/>
      <c r="D128" s="42"/>
      <c r="E128" s="42"/>
      <c r="F128" s="42"/>
      <c r="G128" s="42"/>
      <c r="H128" s="42"/>
    </row>
    <row r="129" spans="1:8" x14ac:dyDescent="0.2">
      <c r="A129" s="40"/>
      <c r="B129" s="41"/>
      <c r="C129" s="41"/>
      <c r="D129" s="42"/>
      <c r="E129" s="42"/>
      <c r="F129" s="42"/>
      <c r="G129" s="42"/>
      <c r="H129" s="42"/>
    </row>
    <row r="130" spans="1:8" x14ac:dyDescent="0.2">
      <c r="A130" s="40"/>
      <c r="B130" s="41"/>
      <c r="C130" s="41"/>
      <c r="D130" s="42"/>
      <c r="E130" s="42"/>
      <c r="F130" s="42"/>
      <c r="G130" s="42"/>
      <c r="H130" s="42"/>
    </row>
    <row r="131" spans="1:8" x14ac:dyDescent="0.2">
      <c r="A131" s="40"/>
      <c r="B131" s="41"/>
      <c r="C131" s="41"/>
      <c r="D131" s="42"/>
      <c r="E131" s="42"/>
      <c r="F131" s="42"/>
      <c r="G131" s="42"/>
      <c r="H131" s="42"/>
    </row>
    <row r="132" spans="1:8" x14ac:dyDescent="0.2">
      <c r="A132" s="40"/>
      <c r="B132" s="41"/>
      <c r="C132" s="41"/>
      <c r="D132" s="42"/>
      <c r="E132" s="42"/>
      <c r="F132" s="42"/>
      <c r="G132" s="42"/>
      <c r="H132" s="42"/>
    </row>
    <row r="133" spans="1:8" x14ac:dyDescent="0.2">
      <c r="A133" s="40"/>
      <c r="B133" s="41"/>
      <c r="C133" s="41"/>
      <c r="D133" s="42"/>
      <c r="E133" s="42"/>
      <c r="F133" s="42"/>
      <c r="G133" s="42"/>
      <c r="H133" s="42"/>
    </row>
    <row r="134" spans="1:8" x14ac:dyDescent="0.2">
      <c r="A134" s="40"/>
      <c r="B134" s="41"/>
      <c r="C134" s="41"/>
      <c r="D134" s="42"/>
      <c r="E134" s="42"/>
      <c r="F134" s="42"/>
      <c r="G134" s="42"/>
      <c r="H134" s="42"/>
    </row>
    <row r="135" spans="1:8" x14ac:dyDescent="0.2">
      <c r="A135" s="40"/>
      <c r="B135" s="41"/>
      <c r="C135" s="41"/>
      <c r="D135" s="42"/>
      <c r="E135" s="42"/>
      <c r="F135" s="42"/>
      <c r="G135" s="42"/>
      <c r="H135" s="42"/>
    </row>
    <row r="136" spans="1:8" x14ac:dyDescent="0.2">
      <c r="A136" s="40"/>
      <c r="B136" s="41"/>
      <c r="C136" s="41"/>
      <c r="D136" s="42"/>
      <c r="E136" s="42"/>
      <c r="F136" s="42"/>
      <c r="G136" s="42"/>
      <c r="H136" s="42"/>
    </row>
    <row r="137" spans="1:8" x14ac:dyDescent="0.2">
      <c r="A137" s="40"/>
      <c r="B137" s="41"/>
      <c r="C137" s="41"/>
      <c r="D137" s="42"/>
      <c r="E137" s="42"/>
      <c r="F137" s="42"/>
      <c r="G137" s="42"/>
      <c r="H137" s="42"/>
    </row>
  </sheetData>
  <conditionalFormatting sqref="H6:H8 A3:H5 G7 A6:G6 A7:F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{69DCC705-4A66-4254-92B7-4ADEB76CD036}</x14:id>
        </ext>
      </extLst>
    </cfRule>
  </conditionalFormatting>
  <pageMargins left="0.75" right="0.75" top="1" bottom="1" header="0.5" footer="0.5"/>
  <pageSetup paperSize="9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DCC705-4A66-4254-92B7-4ADEB76CD0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H6:H8 A3:H5 G7 A6:G6 A7:F8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zoomScale="80" zoomScaleNormal="80" workbookViewId="0">
      <selection activeCell="D34" sqref="D34"/>
    </sheetView>
  </sheetViews>
  <sheetFormatPr defaultColWidth="9.140625" defaultRowHeight="15" x14ac:dyDescent="0.25"/>
  <cols>
    <col min="1" max="1" width="9.140625" style="50"/>
    <col min="2" max="2" width="10.28515625" style="50" bestFit="1" customWidth="1"/>
    <col min="3" max="3" width="72.85546875" style="50" customWidth="1"/>
    <col min="4" max="4" width="19.42578125" style="50" customWidth="1"/>
    <col min="5" max="5" width="9.140625" style="50"/>
    <col min="6" max="6" width="22.28515625" style="50" customWidth="1"/>
    <col min="7" max="7" width="19" style="50" customWidth="1"/>
    <col min="8" max="8" width="26.7109375" style="50" bestFit="1" customWidth="1"/>
    <col min="9" max="9" width="24.42578125" style="50" customWidth="1"/>
    <col min="10" max="10" width="15.5703125" style="50" customWidth="1"/>
    <col min="11" max="11" width="15.85546875" style="50" customWidth="1"/>
    <col min="12" max="12" width="18.5703125" style="50" customWidth="1"/>
    <col min="13" max="13" width="12.5703125" style="50" customWidth="1"/>
    <col min="14" max="14" width="12.140625" style="50" customWidth="1"/>
    <col min="15" max="15" width="9.140625" style="50" customWidth="1"/>
    <col min="16" max="16384" width="9.140625" style="50"/>
  </cols>
  <sheetData>
    <row r="1" spans="1:15" ht="15.75" x14ac:dyDescent="0.3">
      <c r="A1" s="92" t="s">
        <v>20</v>
      </c>
    </row>
    <row r="2" spans="1:15" ht="15.75" x14ac:dyDescent="0.3">
      <c r="A2" s="51" t="s">
        <v>176</v>
      </c>
      <c r="H2" s="52"/>
      <c r="I2" s="53" t="s">
        <v>23</v>
      </c>
    </row>
    <row r="3" spans="1:15" ht="16.5" thickBot="1" x14ac:dyDescent="0.35">
      <c r="A3" s="54" t="s">
        <v>111</v>
      </c>
      <c r="B3" s="55"/>
      <c r="C3" s="55"/>
      <c r="D3" s="56" t="s">
        <v>177</v>
      </c>
      <c r="E3" s="57"/>
      <c r="H3" s="136" t="s">
        <v>22</v>
      </c>
      <c r="I3" s="137" t="s">
        <v>24</v>
      </c>
      <c r="N3" s="61"/>
      <c r="O3" s="61"/>
    </row>
    <row r="4" spans="1:15" ht="16.5" thickBot="1" x14ac:dyDescent="0.35">
      <c r="A4" s="54" t="s">
        <v>25</v>
      </c>
      <c r="B4" s="55"/>
      <c r="C4" s="55"/>
      <c r="H4" s="58" t="s">
        <v>147</v>
      </c>
      <c r="I4" s="169"/>
      <c r="N4" s="141"/>
      <c r="O4" s="141"/>
    </row>
    <row r="5" spans="1:15" ht="15.75" x14ac:dyDescent="0.3">
      <c r="A5" s="54" t="s">
        <v>153</v>
      </c>
      <c r="B5" s="55">
        <f>0.012*B10</f>
        <v>2.4E-2</v>
      </c>
      <c r="C5" s="55" t="s">
        <v>162</v>
      </c>
      <c r="H5" s="139" t="s">
        <v>115</v>
      </c>
      <c r="I5" s="53" t="s">
        <v>117</v>
      </c>
      <c r="N5" s="142"/>
      <c r="O5" s="142"/>
    </row>
    <row r="6" spans="1:15" ht="15.75" x14ac:dyDescent="0.3">
      <c r="A6" s="54" t="s">
        <v>160</v>
      </c>
      <c r="B6" s="55">
        <v>2.4</v>
      </c>
      <c r="C6" s="55" t="s">
        <v>161</v>
      </c>
      <c r="H6" s="52">
        <v>1.34</v>
      </c>
      <c r="I6" s="52">
        <v>1.49</v>
      </c>
      <c r="N6" s="143"/>
      <c r="O6" s="143"/>
    </row>
    <row r="7" spans="1:15" x14ac:dyDescent="0.25">
      <c r="A7" s="55" t="s">
        <v>0</v>
      </c>
      <c r="B7" s="55">
        <v>24</v>
      </c>
      <c r="C7" s="55" t="s">
        <v>2</v>
      </c>
    </row>
    <row r="8" spans="1:15" x14ac:dyDescent="0.25">
      <c r="A8" s="55" t="s">
        <v>1</v>
      </c>
      <c r="B8" s="55">
        <v>35.375</v>
      </c>
      <c r="C8" s="55" t="s">
        <v>3</v>
      </c>
    </row>
    <row r="9" spans="1:15" ht="15.75" x14ac:dyDescent="0.25">
      <c r="A9" s="55" t="s">
        <v>4</v>
      </c>
      <c r="B9" s="55">
        <v>24</v>
      </c>
      <c r="C9" s="55" t="s">
        <v>5</v>
      </c>
      <c r="H9" s="142"/>
      <c r="I9" s="142"/>
      <c r="J9" s="142"/>
      <c r="K9" s="142"/>
      <c r="M9" s="142"/>
    </row>
    <row r="10" spans="1:15" ht="15.75" x14ac:dyDescent="0.3">
      <c r="A10" s="55" t="s">
        <v>6</v>
      </c>
      <c r="B10" s="52">
        <v>2</v>
      </c>
      <c r="C10" s="55" t="s">
        <v>151</v>
      </c>
      <c r="D10" s="60"/>
      <c r="E10" s="61"/>
      <c r="H10" s="144"/>
      <c r="I10" s="145"/>
      <c r="J10" s="146"/>
      <c r="K10" s="144"/>
      <c r="M10" s="143"/>
    </row>
    <row r="11" spans="1:15" ht="15.75" x14ac:dyDescent="0.3">
      <c r="A11" s="55" t="s">
        <v>166</v>
      </c>
      <c r="B11" s="55">
        <v>3.8870000000000002E-2</v>
      </c>
      <c r="C11" s="55" t="s">
        <v>168</v>
      </c>
      <c r="D11" s="65">
        <f>DEGREES(2*ASIN(SIN(RADIANS(B11/2))/H6))</f>
        <v>2.9007462440095215E-2</v>
      </c>
      <c r="E11" s="57" t="s">
        <v>137</v>
      </c>
    </row>
    <row r="12" spans="1:15" ht="15.75" x14ac:dyDescent="0.3">
      <c r="A12" s="55" t="s">
        <v>167</v>
      </c>
      <c r="B12" s="55">
        <v>40.35</v>
      </c>
      <c r="C12" s="55" t="s">
        <v>16</v>
      </c>
      <c r="D12" s="65">
        <f>DEGREES(2*ASIN(SIN(RADIANS(B12/2))/H6))</f>
        <v>29.829267661210721</v>
      </c>
      <c r="E12" s="57" t="s">
        <v>137</v>
      </c>
      <c r="H12" s="66" t="s">
        <v>163</v>
      </c>
      <c r="I12" s="67" t="s">
        <v>212</v>
      </c>
      <c r="J12" s="67"/>
      <c r="K12" s="68"/>
      <c r="L12" s="68"/>
      <c r="M12" s="141"/>
    </row>
    <row r="13" spans="1:15" ht="15.75" x14ac:dyDescent="0.25">
      <c r="A13" s="55" t="s">
        <v>141</v>
      </c>
      <c r="B13" s="55">
        <f>2048/B10</f>
        <v>1024</v>
      </c>
      <c r="C13" s="55" t="s">
        <v>140</v>
      </c>
      <c r="H13" s="128" t="s">
        <v>189</v>
      </c>
      <c r="I13" s="128" t="s">
        <v>104</v>
      </c>
      <c r="J13" s="128" t="s">
        <v>105</v>
      </c>
      <c r="K13" s="128" t="s">
        <v>106</v>
      </c>
      <c r="L13" s="128" t="s">
        <v>107</v>
      </c>
    </row>
    <row r="14" spans="1:15" ht="16.5" x14ac:dyDescent="0.25">
      <c r="H14" s="104">
        <v>0.65</v>
      </c>
      <c r="I14" s="129">
        <f>(B8+ (B8^2/(B5*B6)))/1000</f>
        <v>21.760906684027777</v>
      </c>
      <c r="J14" s="129">
        <f>(I14*H14)/(I14+(H14-(B8/1000)))</f>
        <v>0.63214539633553479</v>
      </c>
      <c r="K14" s="129">
        <f>(I14*H14)/(I14-(H14-(B8/1000)))</f>
        <v>0.66889250583007953</v>
      </c>
      <c r="L14" s="129">
        <f>K14-J14</f>
        <v>3.6747109494544739E-2</v>
      </c>
    </row>
    <row r="15" spans="1:15" ht="16.5" x14ac:dyDescent="0.3">
      <c r="A15" s="69" t="s">
        <v>164</v>
      </c>
      <c r="B15" s="70"/>
      <c r="C15" s="70"/>
      <c r="I15" s="50" t="s">
        <v>211</v>
      </c>
      <c r="L15" s="129"/>
    </row>
    <row r="16" spans="1:15" ht="16.5" x14ac:dyDescent="0.3">
      <c r="A16" s="70" t="s">
        <v>7</v>
      </c>
      <c r="B16" s="71">
        <v>1.4999999999999999E-2</v>
      </c>
      <c r="C16" s="70" t="s">
        <v>210</v>
      </c>
      <c r="D16" s="72">
        <f>(B16*100000)/(60*60)</f>
        <v>0.41666666666666669</v>
      </c>
      <c r="E16" s="73" t="s">
        <v>133</v>
      </c>
      <c r="F16" s="73"/>
      <c r="I16" s="50">
        <f>(D8+ (D8^2/(B5*B6)))/1000</f>
        <v>0</v>
      </c>
      <c r="J16" s="50">
        <f>(I16*H14)/(I14+(H14-(D8/1000)))</f>
        <v>0</v>
      </c>
      <c r="K16" s="50">
        <f>(I16*H14)/(I14-(H14-(D8/1000)))</f>
        <v>0</v>
      </c>
      <c r="L16" s="129">
        <f>K16-J16</f>
        <v>0</v>
      </c>
    </row>
    <row r="17" spans="1:11" ht="15.75" x14ac:dyDescent="0.3">
      <c r="A17" s="70" t="s">
        <v>9</v>
      </c>
      <c r="B17" s="71">
        <v>0.62</v>
      </c>
      <c r="C17" s="70" t="s">
        <v>209</v>
      </c>
      <c r="D17" s="73">
        <f>(B17*100)</f>
        <v>62</v>
      </c>
      <c r="E17" s="73" t="s">
        <v>134</v>
      </c>
      <c r="F17" s="73"/>
      <c r="I17" s="61"/>
      <c r="J17" s="61"/>
      <c r="K17" s="61"/>
    </row>
    <row r="18" spans="1:11" ht="15.75" x14ac:dyDescent="0.3">
      <c r="A18" s="70" t="s">
        <v>8</v>
      </c>
      <c r="B18" s="74">
        <v>10</v>
      </c>
      <c r="C18" s="70" t="s">
        <v>170</v>
      </c>
      <c r="D18" s="73">
        <f>1000/(B18)</f>
        <v>100</v>
      </c>
      <c r="E18" s="75" t="s">
        <v>135</v>
      </c>
      <c r="F18" s="76"/>
      <c r="I18" s="60"/>
      <c r="J18" s="61"/>
      <c r="K18" s="61"/>
    </row>
    <row r="19" spans="1:11" ht="15.75" x14ac:dyDescent="0.3">
      <c r="I19" s="60"/>
      <c r="J19" s="60"/>
      <c r="K19" s="61"/>
    </row>
    <row r="20" spans="1:11" ht="15.75" x14ac:dyDescent="0.3">
      <c r="A20" s="79" t="s">
        <v>21</v>
      </c>
      <c r="B20" s="80"/>
      <c r="C20" s="80"/>
      <c r="I20" s="61"/>
      <c r="J20" s="61"/>
      <c r="K20" s="60"/>
    </row>
    <row r="21" spans="1:11" ht="15.75" x14ac:dyDescent="0.3">
      <c r="A21" s="80" t="s">
        <v>19</v>
      </c>
      <c r="B21" s="81">
        <f>TAN(RADIANS(B12/2))*B17*2</f>
        <v>0.4556169703330305</v>
      </c>
      <c r="C21" s="80" t="s">
        <v>116</v>
      </c>
      <c r="D21" s="82">
        <f>TAN(RADIANS(D12/2))*D17*2</f>
        <v>33.027764100110332</v>
      </c>
      <c r="E21" s="57" t="s">
        <v>132</v>
      </c>
      <c r="F21" s="83">
        <f>D21/100</f>
        <v>0.33027764100110329</v>
      </c>
      <c r="G21" s="57" t="s">
        <v>142</v>
      </c>
      <c r="I21" s="61"/>
      <c r="J21" s="61"/>
      <c r="K21" s="60"/>
    </row>
    <row r="22" spans="1:11" ht="15.75" x14ac:dyDescent="0.3">
      <c r="A22" s="80" t="s">
        <v>10</v>
      </c>
      <c r="B22" s="84">
        <f>(B7*B17)/(1000*B8)</f>
        <v>4.206360424028268E-4</v>
      </c>
      <c r="C22" s="80" t="s">
        <v>13</v>
      </c>
      <c r="D22" s="82">
        <f>TAN(RADIANS(D11/2))*D17*2</f>
        <v>3.1389095758609799E-2</v>
      </c>
      <c r="E22" s="57" t="s">
        <v>138</v>
      </c>
      <c r="F22" s="83">
        <f>D22/100</f>
        <v>3.1389095758609797E-4</v>
      </c>
      <c r="G22" s="57" t="s">
        <v>143</v>
      </c>
      <c r="I22" s="61"/>
      <c r="J22" s="61"/>
      <c r="K22" s="60"/>
    </row>
    <row r="23" spans="1:11" ht="15.75" x14ac:dyDescent="0.3">
      <c r="A23" s="80" t="s">
        <v>11</v>
      </c>
      <c r="B23" s="85">
        <f>B21/B13</f>
        <v>4.449384475908501E-4</v>
      </c>
      <c r="C23" s="80" t="s">
        <v>14</v>
      </c>
      <c r="D23" s="86">
        <f>D21/B13</f>
        <v>3.2253675879013996E-2</v>
      </c>
      <c r="E23" s="57" t="s">
        <v>138</v>
      </c>
      <c r="F23" s="83">
        <f>D23/100</f>
        <v>3.2253675879013994E-4</v>
      </c>
      <c r="G23" s="57" t="s">
        <v>143</v>
      </c>
      <c r="I23" s="61"/>
      <c r="J23" s="61"/>
      <c r="K23" s="61"/>
    </row>
    <row r="24" spans="1:11" ht="15.75" x14ac:dyDescent="0.3">
      <c r="A24" s="80" t="s">
        <v>12</v>
      </c>
      <c r="B24" s="85">
        <f>(B16/B18)*0.2777</f>
        <v>4.1655000000000001E-4</v>
      </c>
      <c r="C24" s="80" t="s">
        <v>145</v>
      </c>
      <c r="D24" s="82">
        <f>((B16/B18)*0.2777)*100</f>
        <v>4.1655000000000005E-2</v>
      </c>
      <c r="E24" s="57" t="s">
        <v>138</v>
      </c>
      <c r="F24" s="172" t="s">
        <v>172</v>
      </c>
      <c r="G24" s="173"/>
      <c r="I24" s="60"/>
      <c r="J24" s="61"/>
      <c r="K24" s="61"/>
    </row>
    <row r="25" spans="1:11" ht="15.75" x14ac:dyDescent="0.3">
      <c r="A25" s="80" t="s">
        <v>18</v>
      </c>
      <c r="B25" s="85">
        <f>(9*B7*B17*B18)/(2500*B8)</f>
        <v>1.5142897526501765E-2</v>
      </c>
      <c r="C25" s="80" t="s">
        <v>171</v>
      </c>
      <c r="D25" s="85">
        <f>((9*B7*B17*B18)/(2500*B8))*100000/(60*60)</f>
        <v>0.42063604240282682</v>
      </c>
      <c r="E25" s="80" t="s">
        <v>169</v>
      </c>
      <c r="F25" s="174"/>
      <c r="G25" s="175"/>
      <c r="I25" s="60"/>
      <c r="J25" s="60"/>
      <c r="K25" s="61"/>
    </row>
    <row r="26" spans="1:11" ht="15.75" x14ac:dyDescent="0.3">
      <c r="A26" s="80" t="s">
        <v>17</v>
      </c>
      <c r="B26" s="84">
        <f>(9*B9*B10*B17*B18)/(2500*B8)</f>
        <v>3.0285795053003529E-2</v>
      </c>
      <c r="C26" s="80" t="s">
        <v>158</v>
      </c>
      <c r="D26" s="84">
        <f>((9*B9*B10*B17*B18)/(2500*B8))*100000/(60*60)</f>
        <v>0.84127208480565363</v>
      </c>
      <c r="E26" s="80" t="s">
        <v>169</v>
      </c>
      <c r="F26" s="174"/>
      <c r="G26" s="175"/>
      <c r="I26" s="61"/>
      <c r="J26" s="61"/>
      <c r="K26" s="60"/>
    </row>
    <row r="27" spans="1:11" ht="15.75" x14ac:dyDescent="0.3">
      <c r="A27" s="87" t="s">
        <v>15</v>
      </c>
      <c r="B27" s="71">
        <v>162</v>
      </c>
      <c r="C27" s="87" t="s">
        <v>152</v>
      </c>
      <c r="D27" s="50" t="s">
        <v>149</v>
      </c>
      <c r="I27" s="61"/>
      <c r="J27" s="61"/>
      <c r="K27" s="60"/>
    </row>
    <row r="28" spans="1:11" ht="15.75" x14ac:dyDescent="0.3">
      <c r="A28" s="88" t="s">
        <v>174</v>
      </c>
      <c r="B28" s="73">
        <f>B27*B24</f>
        <v>6.7481100000000002E-2</v>
      </c>
      <c r="C28" s="87" t="s">
        <v>175</v>
      </c>
      <c r="I28" s="61"/>
      <c r="J28" s="61"/>
      <c r="K28" s="60"/>
    </row>
    <row r="29" spans="1:11" x14ac:dyDescent="0.25">
      <c r="I29" s="61"/>
      <c r="J29" s="61"/>
      <c r="K29" s="61"/>
    </row>
    <row r="30" spans="1:11" x14ac:dyDescent="0.25">
      <c r="A30" s="103" t="s">
        <v>195</v>
      </c>
      <c r="B30" s="103"/>
      <c r="C30" s="103"/>
    </row>
    <row r="31" spans="1:11" ht="15.75" x14ac:dyDescent="0.3">
      <c r="A31" s="103" t="s">
        <v>196</v>
      </c>
      <c r="B31" s="71">
        <v>14</v>
      </c>
      <c r="C31" s="103" t="s">
        <v>198</v>
      </c>
    </row>
    <row r="32" spans="1:11" x14ac:dyDescent="0.25">
      <c r="A32" s="103" t="s">
        <v>197</v>
      </c>
      <c r="B32" s="149">
        <f>(B31/(B21*100))*B13</f>
        <v>314.65026400402047</v>
      </c>
      <c r="C32" s="103" t="s">
        <v>205</v>
      </c>
    </row>
    <row r="33" spans="2:2" x14ac:dyDescent="0.25">
      <c r="B33" s="50">
        <f>B31/B32</f>
        <v>4.4493844759085008E-2</v>
      </c>
    </row>
    <row r="34" spans="2:2" x14ac:dyDescent="0.25">
      <c r="B34" s="50">
        <f>B33*10</f>
        <v>0.44493844759085011</v>
      </c>
    </row>
  </sheetData>
  <mergeCells count="3">
    <mergeCell ref="F24:G24"/>
    <mergeCell ref="F25:G25"/>
    <mergeCell ref="F26:G2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8"/>
  <sheetViews>
    <sheetView zoomScale="70" zoomScaleNormal="70" workbookViewId="0">
      <selection activeCell="I18" sqref="I18"/>
    </sheetView>
  </sheetViews>
  <sheetFormatPr defaultColWidth="9.140625" defaultRowHeight="15" x14ac:dyDescent="0.25"/>
  <cols>
    <col min="1" max="2" width="9.140625" style="50"/>
    <col min="3" max="3" width="65.140625" style="50" customWidth="1"/>
    <col min="4" max="4" width="19.42578125" style="50" customWidth="1"/>
    <col min="5" max="5" width="7.28515625" style="50" customWidth="1"/>
    <col min="6" max="6" width="15" style="50" customWidth="1"/>
    <col min="7" max="7" width="17.85546875" style="50" customWidth="1"/>
    <col min="8" max="8" width="22.85546875" style="50" customWidth="1"/>
    <col min="9" max="9" width="18.42578125" style="50" customWidth="1"/>
    <col min="10" max="10" width="15.5703125" style="50" customWidth="1"/>
    <col min="11" max="11" width="15.85546875" style="50" customWidth="1"/>
    <col min="12" max="12" width="18.5703125" style="50" customWidth="1"/>
    <col min="13" max="13" width="12.5703125" style="50" customWidth="1"/>
    <col min="14" max="14" width="12.140625" style="50" customWidth="1"/>
    <col min="15" max="15" width="9.140625" style="50" customWidth="1"/>
    <col min="16" max="16384" width="9.140625" style="50"/>
  </cols>
  <sheetData>
    <row r="1" spans="1:15" ht="19.5" x14ac:dyDescent="0.35">
      <c r="A1" s="49" t="s">
        <v>20</v>
      </c>
    </row>
    <row r="2" spans="1:15" ht="15.75" x14ac:dyDescent="0.3">
      <c r="A2" s="51" t="s">
        <v>173</v>
      </c>
      <c r="H2" s="52"/>
      <c r="I2" s="53" t="s">
        <v>23</v>
      </c>
    </row>
    <row r="3" spans="1:15" ht="16.5" thickBot="1" x14ac:dyDescent="0.35">
      <c r="A3" s="54" t="s">
        <v>111</v>
      </c>
      <c r="B3" s="55"/>
      <c r="C3" s="55"/>
      <c r="D3" s="56" t="s">
        <v>177</v>
      </c>
      <c r="E3" s="57"/>
      <c r="H3" s="136" t="s">
        <v>22</v>
      </c>
      <c r="I3" s="137" t="s">
        <v>24</v>
      </c>
    </row>
    <row r="4" spans="1:15" ht="16.5" thickBot="1" x14ac:dyDescent="0.35">
      <c r="A4" s="54" t="s">
        <v>184</v>
      </c>
      <c r="B4" s="55"/>
      <c r="C4" s="55"/>
      <c r="H4" s="58" t="s">
        <v>147</v>
      </c>
      <c r="I4" s="138"/>
      <c r="M4" s="147"/>
      <c r="N4" s="148"/>
      <c r="O4" s="148"/>
    </row>
    <row r="5" spans="1:15" ht="16.5" x14ac:dyDescent="0.3">
      <c r="A5" s="54" t="s">
        <v>153</v>
      </c>
      <c r="B5" s="55">
        <f>0.0074*B10</f>
        <v>7.4000000000000003E-3</v>
      </c>
      <c r="C5" s="55" t="s">
        <v>162</v>
      </c>
      <c r="H5" s="139" t="s">
        <v>115</v>
      </c>
      <c r="I5" s="139" t="s">
        <v>117</v>
      </c>
      <c r="M5" s="59"/>
      <c r="N5" s="59"/>
      <c r="O5" s="59"/>
    </row>
    <row r="6" spans="1:15" ht="21" x14ac:dyDescent="0.3">
      <c r="A6" s="54" t="s">
        <v>160</v>
      </c>
      <c r="B6" s="55">
        <v>2.4</v>
      </c>
      <c r="C6" s="55" t="s">
        <v>161</v>
      </c>
      <c r="H6" s="52">
        <v>1.34</v>
      </c>
      <c r="I6" s="52">
        <v>1.49</v>
      </c>
      <c r="M6" s="140"/>
      <c r="N6" s="140"/>
      <c r="O6" s="140"/>
    </row>
    <row r="7" spans="1:15" x14ac:dyDescent="0.25">
      <c r="A7" s="55" t="s">
        <v>0</v>
      </c>
      <c r="B7" s="55">
        <v>15</v>
      </c>
      <c r="C7" s="55" t="s">
        <v>2</v>
      </c>
    </row>
    <row r="8" spans="1:15" x14ac:dyDescent="0.25">
      <c r="A8" s="55" t="s">
        <v>1</v>
      </c>
      <c r="B8" s="55">
        <v>1.4</v>
      </c>
      <c r="C8" s="55" t="s">
        <v>3</v>
      </c>
    </row>
    <row r="9" spans="1:15" ht="16.5" x14ac:dyDescent="0.25">
      <c r="A9" s="55" t="s">
        <v>4</v>
      </c>
      <c r="B9" s="55">
        <v>12</v>
      </c>
      <c r="C9" s="55" t="s">
        <v>5</v>
      </c>
      <c r="H9" s="59"/>
      <c r="I9" s="59"/>
      <c r="J9" s="59"/>
      <c r="K9" s="59"/>
    </row>
    <row r="10" spans="1:15" ht="21" x14ac:dyDescent="0.3">
      <c r="A10" s="55" t="s">
        <v>6</v>
      </c>
      <c r="B10" s="52">
        <v>1</v>
      </c>
      <c r="C10" s="55" t="s">
        <v>151</v>
      </c>
      <c r="D10" s="60"/>
      <c r="E10" s="61"/>
      <c r="H10" s="62"/>
      <c r="I10" s="63"/>
      <c r="J10" s="64"/>
      <c r="K10" s="62"/>
    </row>
    <row r="11" spans="1:15" ht="15.75" x14ac:dyDescent="0.3">
      <c r="A11" s="55" t="s">
        <v>166</v>
      </c>
      <c r="B11" s="55">
        <v>3.8870000000000002E-2</v>
      </c>
      <c r="C11" s="55" t="s">
        <v>168</v>
      </c>
      <c r="D11" s="65">
        <f>DEGREES(2*ASIN(SIN(RADIANS(B11/2))/H6))</f>
        <v>2.9007462440095215E-2</v>
      </c>
      <c r="E11" s="57" t="s">
        <v>137</v>
      </c>
    </row>
    <row r="12" spans="1:15" ht="15.75" x14ac:dyDescent="0.3">
      <c r="A12" s="55" t="s">
        <v>167</v>
      </c>
      <c r="B12" s="55">
        <v>30</v>
      </c>
      <c r="C12" s="55" t="s">
        <v>16</v>
      </c>
      <c r="D12" s="65">
        <f>DEGREES(2*ASIN(SIN(RADIANS(B12/2))/H6))</f>
        <v>22.273173544554073</v>
      </c>
      <c r="E12" s="57" t="s">
        <v>137</v>
      </c>
      <c r="H12" s="66" t="s">
        <v>163</v>
      </c>
      <c r="I12" s="67"/>
      <c r="J12" s="67"/>
      <c r="K12" s="68"/>
      <c r="L12" s="68"/>
    </row>
    <row r="13" spans="1:15" ht="15.75" x14ac:dyDescent="0.25">
      <c r="A13" s="55" t="s">
        <v>141</v>
      </c>
      <c r="B13" s="55">
        <f>640/B10</f>
        <v>640</v>
      </c>
      <c r="C13" s="55" t="s">
        <v>140</v>
      </c>
      <c r="H13" s="128" t="s">
        <v>189</v>
      </c>
      <c r="I13" s="128" t="s">
        <v>104</v>
      </c>
      <c r="J13" s="128" t="s">
        <v>105</v>
      </c>
      <c r="K13" s="128" t="s">
        <v>106</v>
      </c>
      <c r="L13" s="128" t="s">
        <v>107</v>
      </c>
    </row>
    <row r="14" spans="1:15" ht="16.5" x14ac:dyDescent="0.25">
      <c r="H14" s="104">
        <v>0.4</v>
      </c>
      <c r="I14" s="129">
        <f>(B8+ (B8^2/(B5*B6)))/1000</f>
        <v>0.11176036036036034</v>
      </c>
      <c r="J14" s="129">
        <f>(I14*H14)/(I14+(B17-(B8/1000)))</f>
        <v>8.7593292144748452E-2</v>
      </c>
      <c r="K14" s="129">
        <f>(I14*H14)/(I14-(H14-(B8/1000)))</f>
        <v>-0.15585064951380687</v>
      </c>
      <c r="L14" s="129">
        <f>K14-J14</f>
        <v>-0.24344394165855532</v>
      </c>
    </row>
    <row r="15" spans="1:15" ht="15.75" x14ac:dyDescent="0.3">
      <c r="A15" s="69" t="s">
        <v>164</v>
      </c>
      <c r="B15" s="70"/>
      <c r="C15" s="70"/>
    </row>
    <row r="16" spans="1:15" ht="15.75" x14ac:dyDescent="0.3">
      <c r="A16" s="70" t="s">
        <v>7</v>
      </c>
      <c r="B16" s="71">
        <v>0.03</v>
      </c>
      <c r="C16" s="70" t="s">
        <v>136</v>
      </c>
      <c r="D16" s="72">
        <f>(B16*100000)/(60*60)</f>
        <v>0.83333333333333337</v>
      </c>
      <c r="E16" s="73" t="s">
        <v>133</v>
      </c>
      <c r="F16" s="73"/>
    </row>
    <row r="17" spans="1:12" ht="15.75" x14ac:dyDescent="0.3">
      <c r="A17" s="70" t="s">
        <v>9</v>
      </c>
      <c r="B17" s="71">
        <v>0.4</v>
      </c>
      <c r="C17" s="70" t="s">
        <v>109</v>
      </c>
      <c r="D17" s="73">
        <f>(B17*100)</f>
        <v>40</v>
      </c>
      <c r="E17" s="73" t="s">
        <v>134</v>
      </c>
      <c r="F17" s="73"/>
      <c r="H17" s="61"/>
      <c r="I17" s="61"/>
      <c r="J17" s="61"/>
      <c r="K17" s="61"/>
      <c r="L17" s="61"/>
    </row>
    <row r="18" spans="1:12" ht="15.75" x14ac:dyDescent="0.3">
      <c r="A18" s="70" t="s">
        <v>8</v>
      </c>
      <c r="B18" s="74">
        <v>40</v>
      </c>
      <c r="C18" s="70" t="s">
        <v>170</v>
      </c>
      <c r="D18" s="73">
        <f>1000/(B18)</f>
        <v>25</v>
      </c>
      <c r="E18" s="75" t="s">
        <v>135</v>
      </c>
      <c r="F18" s="76"/>
      <c r="H18" s="61"/>
      <c r="I18" s="60"/>
      <c r="J18" s="61"/>
      <c r="K18" s="61"/>
      <c r="L18" s="61"/>
    </row>
    <row r="19" spans="1:12" ht="15.75" x14ac:dyDescent="0.3">
      <c r="H19" s="61"/>
      <c r="I19" s="60"/>
      <c r="J19" s="60"/>
      <c r="K19" s="61"/>
      <c r="L19" s="61"/>
    </row>
    <row r="20" spans="1:12" ht="15.75" x14ac:dyDescent="0.3">
      <c r="A20" s="79" t="s">
        <v>21</v>
      </c>
      <c r="B20" s="80"/>
      <c r="C20" s="80"/>
      <c r="H20" s="61"/>
      <c r="I20" s="61"/>
      <c r="J20" s="61"/>
      <c r="K20" s="60"/>
      <c r="L20" s="61"/>
    </row>
    <row r="21" spans="1:12" ht="15.75" x14ac:dyDescent="0.3">
      <c r="A21" s="80" t="s">
        <v>19</v>
      </c>
      <c r="B21" s="81">
        <f>TAN(RADIANS(B12/2))*B17*2</f>
        <v>0.21435935394489816</v>
      </c>
      <c r="C21" s="80" t="s">
        <v>116</v>
      </c>
      <c r="D21" s="82">
        <f>TAN(RADIANS(D12/2))*D17*2</f>
        <v>15.748433743294752</v>
      </c>
      <c r="E21" s="57" t="s">
        <v>132</v>
      </c>
      <c r="F21" s="83">
        <f>D21/100</f>
        <v>0.15748433743294751</v>
      </c>
      <c r="G21" s="57" t="s">
        <v>142</v>
      </c>
      <c r="H21" s="61"/>
      <c r="I21" s="61"/>
      <c r="J21" s="61"/>
      <c r="K21" s="60"/>
      <c r="L21" s="61"/>
    </row>
    <row r="22" spans="1:12" ht="15.75" x14ac:dyDescent="0.3">
      <c r="A22" s="80" t="s">
        <v>10</v>
      </c>
      <c r="B22" s="84">
        <f>(B7*B17)/(1000*B8)</f>
        <v>4.2857142857142859E-3</v>
      </c>
      <c r="C22" s="80" t="s">
        <v>13</v>
      </c>
      <c r="D22" s="82">
        <f>TAN(RADIANS(D11/2))*D17*2</f>
        <v>2.0251029521683742E-2</v>
      </c>
      <c r="E22" s="57" t="s">
        <v>138</v>
      </c>
      <c r="F22" s="83">
        <f>D22/100</f>
        <v>2.0251029521683742E-4</v>
      </c>
      <c r="G22" s="57" t="s">
        <v>143</v>
      </c>
      <c r="H22" s="61"/>
      <c r="I22" s="61"/>
      <c r="J22" s="61"/>
      <c r="K22" s="60"/>
      <c r="L22" s="61"/>
    </row>
    <row r="23" spans="1:12" ht="15.75" x14ac:dyDescent="0.3">
      <c r="A23" s="80" t="s">
        <v>11</v>
      </c>
      <c r="B23" s="85">
        <f>(B9*B10*B17)/(1000*B8)</f>
        <v>3.4285714285714293E-3</v>
      </c>
      <c r="C23" s="80" t="s">
        <v>14</v>
      </c>
      <c r="D23" s="86">
        <f>D21/B13</f>
        <v>2.460692772389805E-2</v>
      </c>
      <c r="E23" s="57" t="s">
        <v>138</v>
      </c>
      <c r="F23" s="83">
        <f>D23/100</f>
        <v>2.4606927723898049E-4</v>
      </c>
      <c r="G23" s="57" t="s">
        <v>143</v>
      </c>
      <c r="H23" s="61"/>
      <c r="I23" s="61"/>
      <c r="J23" s="61"/>
      <c r="K23" s="61"/>
      <c r="L23" s="61"/>
    </row>
    <row r="24" spans="1:12" ht="15.75" x14ac:dyDescent="0.3">
      <c r="A24" s="80" t="s">
        <v>12</v>
      </c>
      <c r="B24" s="85">
        <f>(B16/B18)*0.2777</f>
        <v>2.0827500000000001E-4</v>
      </c>
      <c r="C24" s="80" t="s">
        <v>145</v>
      </c>
      <c r="D24" s="82">
        <f>((B16/B18)*0.2777)*100</f>
        <v>2.0827500000000002E-2</v>
      </c>
      <c r="E24" s="57" t="s">
        <v>138</v>
      </c>
      <c r="F24" s="180" t="s">
        <v>172</v>
      </c>
      <c r="G24" s="180"/>
      <c r="H24" s="61"/>
      <c r="I24" s="60"/>
      <c r="J24" s="61"/>
      <c r="K24" s="61"/>
      <c r="L24" s="61"/>
    </row>
    <row r="25" spans="1:12" ht="15.75" x14ac:dyDescent="0.3">
      <c r="A25" s="80" t="s">
        <v>18</v>
      </c>
      <c r="B25" s="85">
        <f>(9*B7*B17*B18)/(2500*B8)</f>
        <v>0.6171428571428571</v>
      </c>
      <c r="C25" s="80" t="s">
        <v>171</v>
      </c>
      <c r="D25" s="85">
        <f>((9*B7*B17*B18)/(2500*B8))*100000/(60*60)</f>
        <v>17.142857142857142</v>
      </c>
      <c r="E25" s="80" t="s">
        <v>169</v>
      </c>
      <c r="F25" s="181"/>
      <c r="G25" s="181"/>
      <c r="H25" s="61"/>
      <c r="I25" s="60"/>
      <c r="J25" s="60"/>
      <c r="K25" s="61"/>
      <c r="L25" s="61"/>
    </row>
    <row r="26" spans="1:12" ht="15.75" x14ac:dyDescent="0.3">
      <c r="A26" s="80" t="s">
        <v>17</v>
      </c>
      <c r="B26" s="84">
        <f>(9*B9*B10*B17*B18)/(2500*B8)</f>
        <v>0.49371428571428572</v>
      </c>
      <c r="C26" s="80" t="s">
        <v>158</v>
      </c>
      <c r="D26" s="84">
        <f>((9*B9*B10*B17*B18)/(2500*B8))*100000/(60*60)</f>
        <v>13.714285714285715</v>
      </c>
      <c r="E26" s="80" t="s">
        <v>169</v>
      </c>
      <c r="F26" s="181"/>
      <c r="G26" s="181"/>
      <c r="H26" s="61"/>
      <c r="I26" s="61"/>
      <c r="J26" s="61"/>
      <c r="K26" s="60"/>
      <c r="L26" s="61"/>
    </row>
    <row r="27" spans="1:12" ht="15.75" x14ac:dyDescent="0.3">
      <c r="A27" s="87" t="s">
        <v>15</v>
      </c>
      <c r="B27" s="71">
        <v>162</v>
      </c>
      <c r="C27" s="87" t="s">
        <v>152</v>
      </c>
      <c r="D27" s="50" t="s">
        <v>149</v>
      </c>
      <c r="H27" s="61"/>
      <c r="I27" s="61"/>
      <c r="J27" s="61"/>
      <c r="K27" s="60"/>
      <c r="L27" s="61"/>
    </row>
    <row r="28" spans="1:12" ht="15.75" x14ac:dyDescent="0.3">
      <c r="B28" s="73">
        <f>B27*B24</f>
        <v>3.3740550000000001E-2</v>
      </c>
      <c r="C28" s="87" t="s">
        <v>26</v>
      </c>
      <c r="H28" s="61"/>
      <c r="I28" s="61"/>
      <c r="J28" s="61"/>
      <c r="K28" s="60"/>
      <c r="L28" s="61"/>
    </row>
    <row r="29" spans="1:12" x14ac:dyDescent="0.25">
      <c r="H29" s="61"/>
      <c r="I29" s="61"/>
      <c r="J29" s="61"/>
      <c r="K29" s="61"/>
      <c r="L29" s="61"/>
    </row>
    <row r="30" spans="1:12" x14ac:dyDescent="0.25">
      <c r="H30" s="61"/>
      <c r="I30" s="61"/>
      <c r="J30" s="61"/>
      <c r="K30" s="61"/>
      <c r="L30" s="61"/>
    </row>
    <row r="32" spans="1:12" ht="15.75" x14ac:dyDescent="0.3">
      <c r="A32" s="60"/>
      <c r="B32" s="61"/>
      <c r="C32" s="61"/>
    </row>
    <row r="33" spans="1:3" x14ac:dyDescent="0.25">
      <c r="A33" s="61"/>
      <c r="B33" s="61"/>
      <c r="C33" s="61"/>
    </row>
    <row r="34" spans="1:3" x14ac:dyDescent="0.25">
      <c r="A34" s="61"/>
      <c r="B34" s="61"/>
      <c r="C34" s="61"/>
    </row>
    <row r="35" spans="1:3" x14ac:dyDescent="0.25">
      <c r="A35" s="61"/>
      <c r="B35" s="61"/>
      <c r="C35" s="61"/>
    </row>
    <row r="36" spans="1:3" x14ac:dyDescent="0.25">
      <c r="A36" s="61"/>
      <c r="B36" s="61"/>
      <c r="C36" s="61"/>
    </row>
    <row r="37" spans="1:3" x14ac:dyDescent="0.25">
      <c r="A37" s="61"/>
      <c r="B37" s="61"/>
      <c r="C37" s="61"/>
    </row>
    <row r="38" spans="1:3" x14ac:dyDescent="0.25">
      <c r="A38" s="61"/>
      <c r="B38" s="61"/>
      <c r="C38" s="61"/>
    </row>
  </sheetData>
  <mergeCells count="3">
    <mergeCell ref="F24:G24"/>
    <mergeCell ref="F25:G25"/>
    <mergeCell ref="F26:G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AisaKestrel10</vt:lpstr>
      <vt:lpstr>Photogrammetry</vt:lpstr>
      <vt:lpstr>Cameras_FOV_&amp;_resolution</vt:lpstr>
      <vt:lpstr>Survey_plan</vt:lpstr>
      <vt:lpstr>DOF_Calculator</vt:lpstr>
      <vt:lpstr>IceScan_AK10</vt:lpstr>
      <vt:lpstr>IceScan_MicroHy</vt:lpstr>
    </vt:vector>
  </TitlesOfParts>
  <Company>University of Tasmania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Arko Lucieer</dc:creator>
  <cp:lastModifiedBy>Emiliano Cimoli</cp:lastModifiedBy>
  <dcterms:created xsi:type="dcterms:W3CDTF">2011-11-19T04:59:27Z</dcterms:created>
  <dcterms:modified xsi:type="dcterms:W3CDTF">2019-10-16T23:03:48Z</dcterms:modified>
</cp:coreProperties>
</file>