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autoCompressPictures="0"/>
  <mc:AlternateContent xmlns:mc="http://schemas.openxmlformats.org/markup-compatibility/2006">
    <mc:Choice Requires="x15">
      <x15ac:absPath xmlns:x15ac="http://schemas.microsoft.com/office/spreadsheetml/2010/11/ac" url="https://universitytasmania-my.sharepoint.com/personal/jeremy_asimus_utas_edu_au/Documents/04. Geochemistry/04. Kerguelen isotopes/PAP_unpub_isotopes/"/>
    </mc:Choice>
  </mc:AlternateContent>
  <xr:revisionPtr revIDLastSave="32" documentId="13_ncr:1_{E2529D7A-A785-834B-8892-999362B751A1}" xr6:coauthVersionLast="47" xr6:coauthVersionMax="47" xr10:uidLastSave="{1A60D444-485E-4A0E-99A3-405C947D97C2}"/>
  <bookViews>
    <workbookView xWindow="-28920" yWindow="0" windowWidth="29040" windowHeight="15720" activeTab="1" xr2:uid="{00000000-000D-0000-FFFF-FFFF00000000}"/>
  </bookViews>
  <sheets>
    <sheet name="existing chemical data" sheetId="1" r:id="rId1"/>
    <sheet name="UoM traces &amp; isotopes" sheetId="2" r:id="rId2"/>
    <sheet name="REE patterns" sheetId="3"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02" i="2" l="1"/>
  <c r="C101" i="2"/>
  <c r="B101" i="2"/>
  <c r="K20" i="2" l="1"/>
  <c r="K19" i="2"/>
  <c r="K11" i="2"/>
  <c r="K10" i="2"/>
  <c r="K9" i="2"/>
  <c r="K8" i="2"/>
  <c r="C71" i="2" l="1"/>
  <c r="D71" i="2"/>
  <c r="E71" i="2"/>
  <c r="F71" i="2"/>
  <c r="G71" i="2"/>
  <c r="B71" i="2"/>
  <c r="AE50" i="1"/>
  <c r="AF50" i="1"/>
  <c r="AG50" i="1"/>
  <c r="AH50" i="1"/>
  <c r="AI50" i="1"/>
  <c r="AJ50" i="1"/>
  <c r="AE51" i="1"/>
  <c r="AF51" i="1"/>
  <c r="AG51" i="1"/>
  <c r="AH51" i="1"/>
  <c r="AI51" i="1"/>
  <c r="AJ51" i="1"/>
  <c r="AE52" i="1"/>
  <c r="AF52" i="1"/>
  <c r="AG52" i="1"/>
  <c r="AH52" i="1"/>
  <c r="AI52" i="1"/>
  <c r="AJ52" i="1"/>
  <c r="AE53" i="1"/>
  <c r="AF53" i="1"/>
  <c r="AG53" i="1"/>
  <c r="AH53" i="1"/>
  <c r="AI53" i="1"/>
  <c r="AJ53" i="1"/>
  <c r="AE54" i="1"/>
  <c r="AF54" i="1"/>
  <c r="AG54" i="1"/>
  <c r="AH54" i="1"/>
  <c r="AI54" i="1"/>
  <c r="AJ54" i="1"/>
  <c r="AE55" i="1"/>
  <c r="AF55" i="1"/>
  <c r="AG55" i="1"/>
  <c r="AH55" i="1"/>
  <c r="AI55" i="1"/>
  <c r="AJ55" i="1"/>
  <c r="AE56" i="1"/>
  <c r="AF56" i="1"/>
  <c r="AG56" i="1"/>
  <c r="AH56" i="1"/>
  <c r="AI56" i="1"/>
  <c r="AJ56" i="1"/>
  <c r="AE57" i="1"/>
  <c r="AF57" i="1"/>
  <c r="AG57" i="1"/>
  <c r="AH57" i="1"/>
  <c r="AI57" i="1"/>
  <c r="AJ57" i="1"/>
  <c r="AE58" i="1"/>
  <c r="AF58" i="1"/>
  <c r="AG58" i="1"/>
  <c r="AH58" i="1"/>
  <c r="AI58" i="1"/>
  <c r="AJ58" i="1"/>
  <c r="AE59" i="1"/>
  <c r="AF59" i="1"/>
  <c r="AG59" i="1"/>
  <c r="AH59" i="1"/>
  <c r="AI59" i="1"/>
  <c r="AJ59" i="1"/>
  <c r="AE60" i="1"/>
  <c r="AF60" i="1"/>
  <c r="AG60" i="1"/>
  <c r="AH60" i="1"/>
  <c r="AI60" i="1"/>
  <c r="AJ60" i="1"/>
  <c r="AE61" i="1"/>
  <c r="AF61" i="1"/>
  <c r="AG61" i="1"/>
  <c r="AH61" i="1"/>
  <c r="AI61" i="1"/>
  <c r="AJ61" i="1"/>
  <c r="AE62" i="1"/>
  <c r="AF62" i="1"/>
  <c r="AG62" i="1"/>
  <c r="AH62" i="1"/>
  <c r="AI62" i="1"/>
  <c r="AJ62" i="1"/>
  <c r="AE63" i="1"/>
  <c r="AF63" i="1"/>
  <c r="AG63" i="1"/>
  <c r="AH63" i="1"/>
  <c r="AI63" i="1"/>
  <c r="AJ63" i="1"/>
  <c r="AE64" i="1"/>
  <c r="AF64" i="1"/>
  <c r="AG64" i="1"/>
  <c r="AH64" i="1"/>
  <c r="AI64" i="1"/>
  <c r="AJ64" i="1"/>
  <c r="AE65" i="1"/>
  <c r="AF65" i="1"/>
  <c r="AG65" i="1"/>
  <c r="AH65" i="1"/>
  <c r="AI65" i="1"/>
  <c r="AJ65" i="1"/>
  <c r="AE66" i="1"/>
  <c r="AF66" i="1"/>
  <c r="AG66" i="1"/>
  <c r="AH66" i="1"/>
  <c r="AI66" i="1"/>
  <c r="AJ66" i="1"/>
  <c r="AE67" i="1"/>
  <c r="AF67" i="1"/>
  <c r="AG67" i="1"/>
  <c r="AH67" i="1"/>
  <c r="AI67" i="1"/>
  <c r="AJ67" i="1"/>
  <c r="AE68" i="1"/>
  <c r="AF68" i="1"/>
  <c r="AG68" i="1"/>
  <c r="AH68" i="1"/>
  <c r="AI68" i="1"/>
  <c r="AJ68" i="1"/>
  <c r="AE69" i="1"/>
  <c r="AF69" i="1"/>
  <c r="AG69" i="1"/>
  <c r="AH69" i="1"/>
  <c r="AI69" i="1"/>
  <c r="AJ69" i="1"/>
  <c r="AE70" i="1"/>
  <c r="AF70" i="1"/>
  <c r="AG70" i="1"/>
  <c r="AH70" i="1"/>
  <c r="AI70" i="1"/>
  <c r="AJ70" i="1"/>
  <c r="AE71" i="1"/>
  <c r="AF71" i="1"/>
  <c r="AG71" i="1"/>
  <c r="AH71" i="1"/>
  <c r="AI71" i="1"/>
  <c r="AJ71" i="1"/>
  <c r="AE72" i="1"/>
  <c r="AF72" i="1"/>
  <c r="AG72" i="1"/>
  <c r="AH72" i="1"/>
  <c r="AI72" i="1"/>
  <c r="AJ72" i="1"/>
  <c r="AE73" i="1"/>
  <c r="AF73" i="1"/>
  <c r="AG73" i="1"/>
  <c r="AH73" i="1"/>
  <c r="AI73" i="1"/>
  <c r="AJ73" i="1"/>
  <c r="AE74" i="1"/>
  <c r="AF74" i="1"/>
  <c r="AG74" i="1"/>
  <c r="AH74" i="1"/>
  <c r="AI74" i="1"/>
  <c r="AJ74" i="1"/>
  <c r="AE75" i="1"/>
  <c r="AF75" i="1"/>
  <c r="AG75" i="1"/>
  <c r="AH75" i="1"/>
  <c r="AI75" i="1"/>
  <c r="AJ75" i="1"/>
  <c r="AE76" i="1"/>
  <c r="AF76" i="1"/>
  <c r="AG76" i="1"/>
  <c r="AH76" i="1"/>
  <c r="AI76" i="1"/>
  <c r="AJ76" i="1"/>
  <c r="AE77" i="1"/>
  <c r="AF77" i="1"/>
  <c r="AG77" i="1"/>
  <c r="AH77" i="1"/>
  <c r="AI77" i="1"/>
  <c r="AJ77" i="1"/>
  <c r="AE78" i="1"/>
  <c r="AF78" i="1"/>
  <c r="AG78" i="1"/>
  <c r="AH78" i="1"/>
  <c r="AI78" i="1"/>
  <c r="AJ78" i="1"/>
  <c r="AE79" i="1"/>
  <c r="AF79" i="1"/>
  <c r="AG79" i="1"/>
  <c r="AH79" i="1"/>
  <c r="AI79" i="1"/>
  <c r="AJ79" i="1"/>
  <c r="AE80" i="1"/>
  <c r="AF80" i="1"/>
  <c r="AG80" i="1"/>
  <c r="AH80" i="1"/>
  <c r="AI80" i="1"/>
  <c r="AJ80" i="1"/>
  <c r="AE81" i="1"/>
  <c r="AF81" i="1"/>
  <c r="AG81" i="1"/>
  <c r="AH81" i="1"/>
  <c r="AI81" i="1"/>
  <c r="AJ81" i="1"/>
  <c r="AE82" i="1"/>
  <c r="AF82" i="1"/>
  <c r="AG82" i="1"/>
  <c r="AH82" i="1"/>
  <c r="AI82" i="1"/>
  <c r="AJ82" i="1"/>
  <c r="AE83" i="1"/>
  <c r="AF83" i="1"/>
  <c r="AG83" i="1"/>
  <c r="AH83" i="1"/>
  <c r="AI83" i="1"/>
  <c r="AJ83" i="1"/>
  <c r="AE84" i="1"/>
  <c r="AF84" i="1"/>
  <c r="AG84" i="1"/>
  <c r="AH84" i="1"/>
  <c r="AI84" i="1"/>
  <c r="AJ84" i="1"/>
  <c r="AE85" i="1"/>
  <c r="AF85" i="1"/>
  <c r="AG85" i="1"/>
  <c r="AH85" i="1"/>
  <c r="AI85" i="1"/>
  <c r="AJ85" i="1"/>
  <c r="AE86" i="1"/>
  <c r="AF86" i="1"/>
  <c r="AG86" i="1"/>
  <c r="AH86" i="1"/>
  <c r="AI86" i="1"/>
  <c r="AJ86" i="1"/>
  <c r="AE87" i="1"/>
  <c r="AF87" i="1"/>
  <c r="AG87" i="1"/>
  <c r="AH87" i="1"/>
  <c r="AI87" i="1"/>
  <c r="AJ87" i="1"/>
  <c r="AE88" i="1"/>
  <c r="AF88" i="1"/>
  <c r="AG88" i="1"/>
  <c r="AH88" i="1"/>
  <c r="AI88" i="1"/>
  <c r="AJ88" i="1"/>
  <c r="AE89" i="1"/>
  <c r="AF89" i="1"/>
  <c r="AG89" i="1"/>
  <c r="AH89" i="1"/>
  <c r="AI89" i="1"/>
  <c r="AJ89" i="1"/>
  <c r="AE90" i="1"/>
  <c r="AF90" i="1"/>
  <c r="AG90" i="1"/>
  <c r="AH90" i="1"/>
  <c r="AI90" i="1"/>
  <c r="AJ90" i="1"/>
  <c r="AE91" i="1"/>
  <c r="AF91" i="1"/>
  <c r="AG91" i="1"/>
  <c r="AH91" i="1"/>
  <c r="AI91" i="1"/>
  <c r="AJ91" i="1"/>
  <c r="AE92" i="1"/>
  <c r="AF92" i="1"/>
  <c r="AG92" i="1"/>
  <c r="AH92" i="1"/>
  <c r="AI92" i="1"/>
  <c r="AJ92" i="1"/>
  <c r="AE93" i="1"/>
  <c r="AF93" i="1"/>
  <c r="AG93" i="1"/>
  <c r="AH93" i="1"/>
  <c r="AI93" i="1"/>
  <c r="AJ93" i="1"/>
  <c r="AE94" i="1"/>
  <c r="AF94" i="1"/>
  <c r="AG94" i="1"/>
  <c r="AH94" i="1"/>
  <c r="AI94" i="1"/>
  <c r="AJ94" i="1"/>
  <c r="AE95" i="1"/>
  <c r="AF95" i="1"/>
  <c r="AG95" i="1"/>
  <c r="AH95" i="1"/>
  <c r="AI95" i="1"/>
  <c r="AJ95" i="1"/>
  <c r="AE96" i="1"/>
  <c r="AF96" i="1"/>
  <c r="AG96" i="1"/>
  <c r="AH96" i="1"/>
  <c r="AI96" i="1"/>
  <c r="AJ96" i="1"/>
  <c r="AE97" i="1"/>
  <c r="AF97" i="1"/>
  <c r="AG97" i="1"/>
  <c r="AH97" i="1"/>
  <c r="AI97" i="1"/>
  <c r="AJ97" i="1"/>
  <c r="B94" i="2"/>
  <c r="E97" i="2" l="1"/>
  <c r="L12" i="2" l="1"/>
  <c r="M12" i="2"/>
  <c r="N12" i="2"/>
  <c r="O12" i="2"/>
  <c r="P12" i="2"/>
  <c r="L13" i="2"/>
  <c r="M13" i="2"/>
  <c r="N13" i="2"/>
  <c r="O13" i="2"/>
  <c r="P13" i="2"/>
  <c r="L14" i="2"/>
  <c r="M14" i="2"/>
  <c r="N14" i="2"/>
  <c r="O14" i="2"/>
  <c r="P14" i="2"/>
  <c r="L15" i="2"/>
  <c r="M15" i="2"/>
  <c r="N15" i="2"/>
  <c r="O15" i="2"/>
  <c r="P15" i="2"/>
  <c r="L16" i="2"/>
  <c r="L19" i="2" s="1"/>
  <c r="M16" i="2"/>
  <c r="M19" i="2" s="1"/>
  <c r="N16" i="2"/>
  <c r="N19" i="2" s="1"/>
  <c r="O16" i="2"/>
  <c r="O19" i="2" s="1"/>
  <c r="P16" i="2"/>
  <c r="P19" i="2" s="1"/>
  <c r="L17" i="2"/>
  <c r="L20" i="2" s="1"/>
  <c r="M17" i="2"/>
  <c r="M20" i="2" s="1"/>
  <c r="N17" i="2"/>
  <c r="N20" i="2" s="1"/>
  <c r="O17" i="2"/>
  <c r="O20" i="2" s="1"/>
  <c r="P17" i="2"/>
  <c r="P20" i="2" s="1"/>
  <c r="L22" i="2"/>
  <c r="M22" i="2"/>
  <c r="N22" i="2"/>
  <c r="O22" i="2"/>
  <c r="P22" i="2"/>
  <c r="L23" i="2"/>
  <c r="M23" i="2"/>
  <c r="N23" i="2"/>
  <c r="O23" i="2"/>
  <c r="P23" i="2"/>
  <c r="K23" i="2"/>
  <c r="K22" i="2"/>
  <c r="K17" i="2"/>
  <c r="K16" i="2"/>
  <c r="K15" i="2"/>
  <c r="K14" i="2"/>
  <c r="K13" i="2"/>
  <c r="K12" i="2"/>
  <c r="L10" i="2"/>
  <c r="M10" i="2"/>
  <c r="N10" i="2"/>
  <c r="O10" i="2"/>
  <c r="P10" i="2"/>
  <c r="L9" i="2"/>
  <c r="M9" i="2"/>
  <c r="N9" i="2"/>
  <c r="O9" i="2"/>
  <c r="P9" i="2"/>
  <c r="L8" i="2"/>
  <c r="M8" i="2"/>
  <c r="N8" i="2"/>
  <c r="O8" i="2"/>
  <c r="P8" i="2"/>
  <c r="L11" i="2"/>
  <c r="M11" i="2"/>
  <c r="N11" i="2"/>
  <c r="O11" i="2"/>
  <c r="P11" i="2"/>
  <c r="B97" i="2"/>
  <c r="C97" i="2"/>
  <c r="D97" i="2"/>
  <c r="F97" i="2"/>
  <c r="G97" i="2"/>
  <c r="C98" i="2"/>
  <c r="D98" i="2"/>
  <c r="E98" i="2"/>
  <c r="F98" i="2"/>
  <c r="G98" i="2"/>
  <c r="C99" i="2"/>
  <c r="D99" i="2"/>
  <c r="E99" i="2"/>
  <c r="F99" i="2"/>
  <c r="G99" i="2"/>
  <c r="B99" i="2"/>
  <c r="B98" i="2"/>
  <c r="AU54" i="1"/>
  <c r="AW55" i="1"/>
  <c r="AW59" i="1"/>
  <c r="AY52" i="1"/>
  <c r="AN89" i="1"/>
  <c r="AO89" i="1"/>
  <c r="AP89" i="1"/>
  <c r="AX89" i="1" s="1"/>
  <c r="AQ89" i="1"/>
  <c r="AR89" i="1"/>
  <c r="AM89" i="1"/>
  <c r="AU89" i="1" s="1"/>
  <c r="G77" i="2"/>
  <c r="G96" i="2" s="1"/>
  <c r="F77" i="2"/>
  <c r="M99" i="2" s="1"/>
  <c r="E77" i="2"/>
  <c r="L99" i="2" s="1"/>
  <c r="D77" i="2"/>
  <c r="D96" i="2" s="1"/>
  <c r="C77" i="2"/>
  <c r="C96" i="2" s="1"/>
  <c r="B77" i="2"/>
  <c r="G69" i="2"/>
  <c r="N98" i="2" s="1"/>
  <c r="F69" i="2"/>
  <c r="F95" i="2" s="1"/>
  <c r="E69" i="2"/>
  <c r="E95" i="2" s="1"/>
  <c r="D69" i="2"/>
  <c r="C69" i="2"/>
  <c r="J98" i="2" s="1"/>
  <c r="B69" i="2"/>
  <c r="G94" i="2"/>
  <c r="F94" i="2"/>
  <c r="E94" i="2"/>
  <c r="D94" i="2"/>
  <c r="C94" i="2"/>
  <c r="G79" i="2"/>
  <c r="F79" i="2"/>
  <c r="E79" i="2"/>
  <c r="D79" i="2"/>
  <c r="C79" i="2"/>
  <c r="B79" i="2"/>
  <c r="G72" i="2"/>
  <c r="F72" i="2"/>
  <c r="E72" i="2"/>
  <c r="D72" i="2"/>
  <c r="C72" i="2"/>
  <c r="B72" i="2"/>
  <c r="AU52" i="1"/>
  <c r="AV52" i="1"/>
  <c r="AW52" i="1"/>
  <c r="AX52" i="1"/>
  <c r="AZ52" i="1"/>
  <c r="AV54" i="1"/>
  <c r="AW54" i="1"/>
  <c r="AX54" i="1"/>
  <c r="AY54" i="1"/>
  <c r="AZ54" i="1"/>
  <c r="AU55" i="1"/>
  <c r="AV55" i="1"/>
  <c r="AX55" i="1"/>
  <c r="AY55" i="1"/>
  <c r="AZ55" i="1"/>
  <c r="AU56" i="1"/>
  <c r="AV56" i="1"/>
  <c r="AX56" i="1"/>
  <c r="AY56" i="1"/>
  <c r="AZ56" i="1"/>
  <c r="AU58" i="1"/>
  <c r="AW58" i="1"/>
  <c r="AX58" i="1"/>
  <c r="AY58" i="1"/>
  <c r="AZ58" i="1"/>
  <c r="AU59" i="1"/>
  <c r="AV59" i="1"/>
  <c r="AX59" i="1"/>
  <c r="AY59" i="1"/>
  <c r="AZ59" i="1"/>
  <c r="AU60" i="1"/>
  <c r="AV60" i="1"/>
  <c r="AW60" i="1"/>
  <c r="AX60" i="1"/>
  <c r="AY60" i="1"/>
  <c r="AZ60" i="1"/>
  <c r="AU61" i="1"/>
  <c r="AV61" i="1"/>
  <c r="AW61" i="1"/>
  <c r="AX61" i="1"/>
  <c r="AY61" i="1"/>
  <c r="AZ61" i="1"/>
  <c r="AU63" i="1"/>
  <c r="AV63" i="1"/>
  <c r="AW63" i="1"/>
  <c r="AX63" i="1"/>
  <c r="AY63" i="1"/>
  <c r="AZ63" i="1"/>
  <c r="AU64" i="1"/>
  <c r="AV64" i="1"/>
  <c r="AW64" i="1"/>
  <c r="AX64" i="1"/>
  <c r="AY64" i="1"/>
  <c r="AZ64" i="1"/>
  <c r="AU65" i="1"/>
  <c r="AV65" i="1"/>
  <c r="AW65" i="1"/>
  <c r="AX65" i="1"/>
  <c r="AY65" i="1"/>
  <c r="AZ65" i="1"/>
  <c r="AU66" i="1"/>
  <c r="AV66" i="1"/>
  <c r="AW66" i="1"/>
  <c r="AX66" i="1"/>
  <c r="AY66" i="1"/>
  <c r="AZ66" i="1"/>
  <c r="AU67" i="1"/>
  <c r="AV67" i="1"/>
  <c r="AW67" i="1"/>
  <c r="AX67" i="1"/>
  <c r="AY67" i="1"/>
  <c r="AZ67" i="1"/>
  <c r="AU68" i="1"/>
  <c r="AW68" i="1"/>
  <c r="AU74" i="1"/>
  <c r="AV74" i="1"/>
  <c r="AW74" i="1"/>
  <c r="AX74" i="1"/>
  <c r="AY74" i="1"/>
  <c r="AZ74" i="1"/>
  <c r="AU75" i="1"/>
  <c r="AV75" i="1"/>
  <c r="AW75" i="1"/>
  <c r="AX75" i="1"/>
  <c r="AY75" i="1"/>
  <c r="AZ75" i="1"/>
  <c r="AU76" i="1"/>
  <c r="AV76" i="1"/>
  <c r="AW76" i="1"/>
  <c r="AX76" i="1"/>
  <c r="AY76" i="1"/>
  <c r="AZ76" i="1"/>
  <c r="AU78" i="1"/>
  <c r="AV78" i="1"/>
  <c r="AW78" i="1"/>
  <c r="AX78" i="1"/>
  <c r="AY78" i="1"/>
  <c r="AZ78" i="1"/>
  <c r="AV89" i="1"/>
  <c r="AW89" i="1"/>
  <c r="AY89" i="1"/>
  <c r="AZ89" i="1"/>
  <c r="AU93" i="1"/>
  <c r="AV93" i="1"/>
  <c r="AW93" i="1"/>
  <c r="AX93" i="1"/>
  <c r="AY93" i="1"/>
  <c r="AZ93" i="1"/>
  <c r="AU96" i="1"/>
  <c r="AV96" i="1"/>
  <c r="AW96" i="1"/>
  <c r="AX96" i="1"/>
  <c r="AY96" i="1"/>
  <c r="AZ96" i="1"/>
  <c r="AU97" i="1"/>
  <c r="AV97" i="1"/>
  <c r="AY97" i="1"/>
  <c r="AZ97" i="1"/>
  <c r="H85" i="1"/>
  <c r="I85" i="1"/>
  <c r="J85" i="1"/>
  <c r="K85" i="1"/>
  <c r="L85" i="1"/>
  <c r="G85" i="1"/>
  <c r="L59" i="1"/>
  <c r="K59" i="1"/>
  <c r="J59" i="1"/>
  <c r="I59" i="1"/>
  <c r="H59" i="1"/>
  <c r="G59" i="1"/>
  <c r="O12" i="1"/>
  <c r="O7" i="1"/>
  <c r="O8" i="1"/>
  <c r="O9" i="1"/>
  <c r="O10" i="1"/>
  <c r="O11" i="1"/>
  <c r="O13" i="1"/>
  <c r="O14" i="1"/>
  <c r="O15" i="1"/>
  <c r="O16" i="1"/>
  <c r="O17" i="1"/>
  <c r="O6" i="1"/>
  <c r="I98" i="2" l="1"/>
  <c r="B95" i="2"/>
  <c r="E102" i="2"/>
  <c r="D101" i="2"/>
  <c r="K98" i="2"/>
  <c r="I99" i="2"/>
  <c r="F102" i="2"/>
  <c r="E101" i="2"/>
  <c r="L98" i="2"/>
  <c r="C102" i="2"/>
  <c r="J99" i="2"/>
  <c r="G102" i="2"/>
  <c r="N99" i="2"/>
  <c r="F101" i="2"/>
  <c r="M98" i="2"/>
  <c r="D102" i="2"/>
  <c r="K99" i="2"/>
  <c r="C95" i="2"/>
  <c r="G95" i="2"/>
  <c r="E96" i="2"/>
  <c r="G101" i="2"/>
  <c r="D95" i="2"/>
  <c r="B96" i="2"/>
  <c r="F96" i="2"/>
</calcChain>
</file>

<file path=xl/sharedStrings.xml><?xml version="1.0" encoding="utf-8"?>
<sst xmlns="http://schemas.openxmlformats.org/spreadsheetml/2006/main" count="553" uniqueCount="185">
  <si>
    <t>Analyst: Jay Thompson</t>
  </si>
  <si>
    <t>XRF ANALYSES</t>
  </si>
  <si>
    <t>XRF sample preparation:Katie McGoldrick</t>
  </si>
  <si>
    <t>Axios Advanced XRF spectrometer with 4kW Rh tube</t>
  </si>
  <si>
    <r>
      <t>SiO</t>
    </r>
    <r>
      <rPr>
        <b/>
        <vertAlign val="subscript"/>
        <sz val="12"/>
        <rFont val="Times New Roman"/>
        <family val="1"/>
      </rPr>
      <t>2</t>
    </r>
  </si>
  <si>
    <r>
      <t>TiO</t>
    </r>
    <r>
      <rPr>
        <b/>
        <vertAlign val="subscript"/>
        <sz val="12"/>
        <rFont val="Times New Roman"/>
        <family val="1"/>
      </rPr>
      <t>2</t>
    </r>
  </si>
  <si>
    <r>
      <t>Al</t>
    </r>
    <r>
      <rPr>
        <b/>
        <vertAlign val="subscript"/>
        <sz val="12"/>
        <rFont val="Times New Roman"/>
        <family val="1"/>
      </rPr>
      <t>2</t>
    </r>
    <r>
      <rPr>
        <b/>
        <sz val="12"/>
        <rFont val="Times New Roman"/>
        <family val="1"/>
      </rPr>
      <t>O</t>
    </r>
    <r>
      <rPr>
        <b/>
        <vertAlign val="subscript"/>
        <sz val="12"/>
        <rFont val="Times New Roman"/>
        <family val="1"/>
      </rPr>
      <t>3</t>
    </r>
  </si>
  <si>
    <r>
      <t>Fe</t>
    </r>
    <r>
      <rPr>
        <b/>
        <vertAlign val="subscript"/>
        <sz val="12"/>
        <rFont val="Times New Roman"/>
        <family val="1"/>
      </rPr>
      <t>2</t>
    </r>
    <r>
      <rPr>
        <b/>
        <sz val="12"/>
        <rFont val="Times New Roman"/>
        <family val="1"/>
      </rPr>
      <t>O</t>
    </r>
    <r>
      <rPr>
        <b/>
        <vertAlign val="subscript"/>
        <sz val="12"/>
        <rFont val="Times New Roman"/>
        <family val="1"/>
      </rPr>
      <t>3</t>
    </r>
  </si>
  <si>
    <t>MnO</t>
  </si>
  <si>
    <t>MgO</t>
  </si>
  <si>
    <t>CaO</t>
  </si>
  <si>
    <r>
      <t>Na</t>
    </r>
    <r>
      <rPr>
        <b/>
        <vertAlign val="subscript"/>
        <sz val="12"/>
        <rFont val="Times New Roman"/>
        <family val="1"/>
      </rPr>
      <t>2</t>
    </r>
    <r>
      <rPr>
        <b/>
        <sz val="12"/>
        <rFont val="Times New Roman"/>
        <family val="1"/>
      </rPr>
      <t>O</t>
    </r>
  </si>
  <si>
    <r>
      <t>K</t>
    </r>
    <r>
      <rPr>
        <b/>
        <vertAlign val="subscript"/>
        <sz val="12"/>
        <rFont val="Times New Roman"/>
        <family val="1"/>
      </rPr>
      <t>2</t>
    </r>
    <r>
      <rPr>
        <b/>
        <sz val="12"/>
        <rFont val="Times New Roman"/>
        <family val="1"/>
      </rPr>
      <t>O</t>
    </r>
  </si>
  <si>
    <r>
      <t>P</t>
    </r>
    <r>
      <rPr>
        <b/>
        <vertAlign val="subscript"/>
        <sz val="12"/>
        <rFont val="Times New Roman"/>
        <family val="1"/>
      </rPr>
      <t>2</t>
    </r>
    <r>
      <rPr>
        <b/>
        <sz val="12"/>
        <rFont val="Times New Roman"/>
        <family val="1"/>
      </rPr>
      <t>O</t>
    </r>
    <r>
      <rPr>
        <b/>
        <vertAlign val="subscript"/>
        <sz val="12"/>
        <rFont val="Times New Roman"/>
        <family val="1"/>
      </rPr>
      <t>5</t>
    </r>
  </si>
  <si>
    <t>Loss</t>
  </si>
  <si>
    <t>Detection Limits</t>
  </si>
  <si>
    <t>S%</t>
  </si>
  <si>
    <t>Total</t>
  </si>
  <si>
    <t>Sc</t>
  </si>
  <si>
    <t>Ba</t>
  </si>
  <si>
    <t>V</t>
  </si>
  <si>
    <t>Cr</t>
  </si>
  <si>
    <t>Ni</t>
  </si>
  <si>
    <t>Cu</t>
  </si>
  <si>
    <t>Zn</t>
  </si>
  <si>
    <t>Ga</t>
  </si>
  <si>
    <t>As</t>
  </si>
  <si>
    <t>Rb</t>
  </si>
  <si>
    <t>Sr</t>
  </si>
  <si>
    <t>Y</t>
  </si>
  <si>
    <t>Zr</t>
  </si>
  <si>
    <t>Nb</t>
  </si>
  <si>
    <t>Mo</t>
  </si>
  <si>
    <t>Sn</t>
  </si>
  <si>
    <t>Pb</t>
  </si>
  <si>
    <t>Th</t>
  </si>
  <si>
    <t>La</t>
  </si>
  <si>
    <t>Ce</t>
  </si>
  <si>
    <t>Nd</t>
  </si>
  <si>
    <t>Trace elements in parts per million (ppm)</t>
  </si>
  <si>
    <t xml:space="preserve">As </t>
  </si>
  <si>
    <t>U</t>
  </si>
  <si>
    <t>Detection Limits (ppm)</t>
  </si>
  <si>
    <t>CODES / SES</t>
  </si>
  <si>
    <t>Bi</t>
  </si>
  <si>
    <t>&lt;1</t>
  </si>
  <si>
    <t>&lt;2</t>
  </si>
  <si>
    <t>&lt;0.5</t>
  </si>
  <si>
    <t>&lt;3</t>
  </si>
  <si>
    <t>DRI-3</t>
  </si>
  <si>
    <t>DRI-4</t>
  </si>
  <si>
    <t>DRI-5</t>
  </si>
  <si>
    <t>DRI-34</t>
  </si>
  <si>
    <t>DRI-38</t>
  </si>
  <si>
    <t>DRI-40</t>
  </si>
  <si>
    <t>DRI-41</t>
  </si>
  <si>
    <t>DR3-1</t>
  </si>
  <si>
    <t>DR3-2</t>
  </si>
  <si>
    <t>DR3-6</t>
  </si>
  <si>
    <t>DR3-15a</t>
  </si>
  <si>
    <t>DR3-15b</t>
  </si>
  <si>
    <t>BaO</t>
  </si>
  <si>
    <t>&lt;1.5</t>
  </si>
  <si>
    <t>*See major elements above</t>
  </si>
  <si>
    <t>&lt;0.01</t>
  </si>
  <si>
    <t>Jacqueline Halpin</t>
  </si>
  <si>
    <t>12 samples</t>
  </si>
  <si>
    <t>Hf calc</t>
  </si>
  <si>
    <t>Hf</t>
  </si>
  <si>
    <t xml:space="preserve">Hf calc </t>
  </si>
  <si>
    <t>DR1-3</t>
  </si>
  <si>
    <t>DR1-4</t>
  </si>
  <si>
    <t>DR1-5</t>
  </si>
  <si>
    <t>Li</t>
  </si>
  <si>
    <t>Be</t>
  </si>
  <si>
    <t>Ca</t>
  </si>
  <si>
    <t>Ti</t>
  </si>
  <si>
    <t>Co</t>
  </si>
  <si>
    <t>Cd</t>
  </si>
  <si>
    <t>In</t>
  </si>
  <si>
    <t>Sb</t>
  </si>
  <si>
    <t>Cs</t>
  </si>
  <si>
    <t>Pr</t>
  </si>
  <si>
    <t>Sm</t>
  </si>
  <si>
    <t>Eu</t>
  </si>
  <si>
    <t>Gd</t>
  </si>
  <si>
    <t>Tb</t>
  </si>
  <si>
    <t>Dy</t>
  </si>
  <si>
    <t>Ho</t>
  </si>
  <si>
    <t>Er</t>
  </si>
  <si>
    <t>Tm</t>
  </si>
  <si>
    <t>Yb</t>
  </si>
  <si>
    <t>Lu</t>
  </si>
  <si>
    <t>Ta</t>
  </si>
  <si>
    <t>W</t>
  </si>
  <si>
    <t>Tl</t>
  </si>
  <si>
    <t>Th*</t>
  </si>
  <si>
    <t>87Rb/86Sr</t>
  </si>
  <si>
    <t>ppb</t>
  </si>
  <si>
    <t>ppm</t>
  </si>
  <si>
    <t>143Nd/144Nd</t>
  </si>
  <si>
    <t>eNd</t>
  </si>
  <si>
    <t>176Hf/177Hf</t>
  </si>
  <si>
    <t>eHf</t>
  </si>
  <si>
    <t>eNdi</t>
  </si>
  <si>
    <t>eHfi</t>
  </si>
  <si>
    <t>Sr-Nd-Pb-Hf isotopes and trace element compositions</t>
  </si>
  <si>
    <t>87Sr/86Sr</t>
  </si>
  <si>
    <t>Trace element data and Sr-Nd-Pb-Hf isotope ratios measured at UoM, 2015</t>
  </si>
  <si>
    <t>UTAS XRF data, Ca and Ti converted to metal ppm, Hf=Zr/40</t>
  </si>
  <si>
    <t>Comparison UoM ICPMS vs UTAS XRF (on different powders made from inhomogeneous rocks)</t>
  </si>
  <si>
    <t>UniMelb ICPMS results, in ppb</t>
  </si>
  <si>
    <t>UniMelb ICPMS results, in ppm</t>
  </si>
  <si>
    <t>147Sm/144Nd</t>
  </si>
  <si>
    <t>Rb ppm</t>
  </si>
  <si>
    <t>Sr ppm</t>
  </si>
  <si>
    <t>Sm ppm</t>
  </si>
  <si>
    <t>Nd ppm</t>
  </si>
  <si>
    <t>Lu ppm</t>
  </si>
  <si>
    <t>Hf ppm</t>
  </si>
  <si>
    <t>U ppm</t>
  </si>
  <si>
    <t>Th ppm</t>
  </si>
  <si>
    <t>Pb ppm</t>
  </si>
  <si>
    <t>176Lu/177Hf</t>
  </si>
  <si>
    <t>238U/204Pb</t>
  </si>
  <si>
    <t>232U/204Pb</t>
  </si>
  <si>
    <t>206Pb/204Pb</t>
  </si>
  <si>
    <t>207Pb/204Pb</t>
  </si>
  <si>
    <t>208Pb/204Pb</t>
  </si>
  <si>
    <t>206Pb/204Pbi</t>
  </si>
  <si>
    <t>207Pb/204Pbi</t>
  </si>
  <si>
    <t>208Pb/204Pbi</t>
  </si>
  <si>
    <t>TDM (Nd)</t>
  </si>
  <si>
    <t>TDM (Hf)</t>
  </si>
  <si>
    <t>rock powders milled in agate at Univ of Melbourne, powders dissolved in high-pressure Krogh-type bombs</t>
  </si>
  <si>
    <t>trace elements determined by QICPMS on a weighed split of the clear sample solution, uncertainties vary but are &lt;5% for the elements of interest to the isotopic work</t>
  </si>
  <si>
    <t>Pb, Nd, Sr and Hf extracted sequentially from same sample solution aliquot, using well-established techniques (anion exchnage, Eichrom resins)</t>
  </si>
  <si>
    <t>all isotopic analyses done on a Nu Plasma MC-ICPMS, in static mode</t>
  </si>
  <si>
    <t>age-corrections</t>
  </si>
  <si>
    <t>age, Ga</t>
  </si>
  <si>
    <t>87Sr/86Sri</t>
  </si>
  <si>
    <t>whole rock model ages for SmNd and LuHf</t>
  </si>
  <si>
    <t>mass bias corrected by internal normalisation to 88Sr/86Sr=8.37521, 146Nd/144Nd=0.7219, 179Hf/177Hf=0.7325</t>
  </si>
  <si>
    <t>typical internal (2se) precisions are: 87Sr/86Sr ±0.000020, 143Nd/144Nd ±0.000010, 176Hf/177Hf ±0.000007</t>
  </si>
  <si>
    <t>typical external (2sd) precisions (=reproducibility): ±0.000040, ±0.000020, ±0.000015</t>
  </si>
  <si>
    <t xml:space="preserve"> final Sr, Nd and Hf isotope results reported relative to SRM987=0.710230, LaJolla=0.511860, JMC475=0.282160</t>
  </si>
  <si>
    <t>mass bias in Pb isotope runs corrected using thallium doping (Woodhead, 2002) and data reported relative to SRM981=16.935, 15.491, 36.701</t>
  </si>
  <si>
    <t>external precision (2sd) for Pb isotope ratios: 206Pb/204Pb ±0.05%, 207Pb/204Pb ±0.07%, 208Pb/204Pb ±0.09%</t>
  </si>
  <si>
    <t>parent/daughter ratios calculated from trace element results for same sample  solution have a precision of ±5% (2sd)</t>
  </si>
  <si>
    <t>epsilon values for Nd and Hf calculated for a modern CHUR with 147Sm/144Nd=0.196, 143Nd/144Nd=0.512632, 176Lu/177Hf=0.0336 and 176Hf/177Hf=0.282785 (Bouvier et al., 2008 EPSL 273, 48-57)</t>
  </si>
  <si>
    <t xml:space="preserve">Sm-Nd and Lu-Hf model ages are single-stage depleted mantle model ages; modern DM is </t>
  </si>
  <si>
    <t>147Sm/144Nd=0.2129, 143Nd/144Nd=0.513145, 176Lu/177Hf=0.03869 and 176Hf/177Hf=0.283237</t>
  </si>
  <si>
    <t>decay constants: 87Rb 1.395E-11/yr, 147Sm 6.54E-12/yr, 176Lu 1.865E-11/yr, 238U 0.155125E-9/yr, 235U 0.98485E-9/yr, 232Th 0.049495E-9/yr</t>
  </si>
  <si>
    <t>DR 21-1</t>
  </si>
  <si>
    <t>DR 21-2</t>
  </si>
  <si>
    <t>DR 21-4</t>
  </si>
  <si>
    <t>DR 21-8</t>
  </si>
  <si>
    <t>DR 21-11</t>
  </si>
  <si>
    <t>Comparison of initial isotope ratios at 130 Ma: Gulden Draak etc vs Southern Naturaliste Plateau</t>
  </si>
  <si>
    <t>87/86Sr</t>
  </si>
  <si>
    <t>206/204</t>
  </si>
  <si>
    <t>207/204</t>
  </si>
  <si>
    <t>208/204</t>
  </si>
  <si>
    <t>TDM Nd</t>
  </si>
  <si>
    <t>TDM Hf</t>
  </si>
  <si>
    <t>ASI</t>
  </si>
  <si>
    <t>La/Sm n</t>
  </si>
  <si>
    <t>La/Yb n</t>
  </si>
  <si>
    <t>Gd/Yb n</t>
  </si>
  <si>
    <t>Zr/Hf</t>
  </si>
  <si>
    <t>Nb/Ta</t>
  </si>
  <si>
    <t>Th/U</t>
  </si>
  <si>
    <t>Y/Ho</t>
  </si>
  <si>
    <t>La/Nb</t>
  </si>
  <si>
    <t>Th/Nb</t>
  </si>
  <si>
    <t>La/Nb pm</t>
  </si>
  <si>
    <t>Th/Nb pm</t>
  </si>
  <si>
    <t>Ce/Pb</t>
  </si>
  <si>
    <t>Nb/U</t>
  </si>
  <si>
    <t>Eu/Eu*</t>
  </si>
  <si>
    <t>southern Naturaliste Plateau (data Maas and Halpin)</t>
  </si>
  <si>
    <t>Granites dredged from remanant continental fragments (Batavia Knoll, Gulden Draak Knoll, Indian Ocean), Milan/Halpin 2015</t>
  </si>
  <si>
    <t>143Nd/144Nd i</t>
  </si>
  <si>
    <t>176Hf/177Hf i</t>
  </si>
  <si>
    <t>143Nd/144Nd(i)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</si>
</sst>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000"/>
    <numFmt numFmtId="167" formatCode="0.000000"/>
    <numFmt numFmtId="168" formatCode="0.00000"/>
  </numFmts>
  <fonts count="23" x14ac:knownFonts="1">
    <font>
      <sz val="11"/>
      <color theme="1"/>
      <name val="Times New Roman"/>
      <family val="2"/>
    </font>
    <font>
      <b/>
      <sz val="12"/>
      <name val="Times New Roman"/>
      <family val="1"/>
    </font>
    <font>
      <b/>
      <vertAlign val="subscript"/>
      <sz val="12"/>
      <name val="Times New Roman"/>
      <family val="1"/>
    </font>
    <font>
      <b/>
      <sz val="11"/>
      <color theme="1"/>
      <name val="Times New Roman"/>
      <family val="1"/>
    </font>
    <font>
      <sz val="11"/>
      <color theme="1"/>
      <name val="Times New Roman"/>
      <family val="1"/>
    </font>
    <font>
      <b/>
      <sz val="10"/>
      <name val="Times New Roman"/>
      <family val="1"/>
    </font>
    <font>
      <sz val="11"/>
      <name val="Times New Roman"/>
      <family val="1"/>
    </font>
    <font>
      <b/>
      <sz val="11"/>
      <name val="Times New Roman"/>
      <family val="1"/>
    </font>
    <font>
      <sz val="10"/>
      <color theme="1"/>
      <name val="Times New Roman"/>
      <family val="1"/>
    </font>
    <font>
      <b/>
      <sz val="12"/>
      <color theme="1"/>
      <name val="Times New Roman"/>
      <family val="1"/>
    </font>
    <font>
      <sz val="10"/>
      <color theme="1"/>
      <name val="Arial"/>
      <family val="2"/>
    </font>
    <font>
      <b/>
      <sz val="11"/>
      <color rgb="FFFF0000"/>
      <name val="Times New Roman"/>
      <family val="1"/>
    </font>
    <font>
      <u/>
      <sz val="11"/>
      <color theme="10"/>
      <name val="Times New Roman"/>
      <family val="2"/>
    </font>
    <font>
      <u/>
      <sz val="11"/>
      <color theme="11"/>
      <name val="Times New Roman"/>
      <family val="2"/>
    </font>
    <font>
      <b/>
      <sz val="14"/>
      <color rgb="FFFF0000"/>
      <name val="Times New Roman"/>
      <family val="1"/>
    </font>
    <font>
      <b/>
      <sz val="14"/>
      <color theme="1"/>
      <name val="Times New Roman"/>
      <family val="1"/>
    </font>
    <font>
      <sz val="12"/>
      <name val="Times New Roman"/>
      <family val="1"/>
    </font>
    <font>
      <sz val="10"/>
      <name val="Times"/>
      <family val="1"/>
    </font>
    <font>
      <sz val="12"/>
      <color theme="1"/>
      <name val="Calibri"/>
      <family val="2"/>
    </font>
    <font>
      <sz val="10"/>
      <name val="Arial"/>
      <family val="2"/>
    </font>
    <font>
      <sz val="12"/>
      <color rgb="FF000000"/>
      <name val="Arial"/>
      <family val="2"/>
    </font>
    <font>
      <sz val="12"/>
      <color rgb="FF000000"/>
      <name val="Calibri"/>
      <family val="2"/>
    </font>
    <font>
      <sz val="10"/>
      <color theme="1"/>
      <name val="Calibri"/>
      <family val="2"/>
      <scheme val="minor"/>
    </font>
  </fonts>
  <fills count="5">
    <fill>
      <patternFill patternType="none"/>
    </fill>
    <fill>
      <patternFill patternType="gray125"/>
    </fill>
    <fill>
      <patternFill patternType="solid">
        <fgColor rgb="FFFF6600"/>
        <bgColor indexed="64"/>
      </patternFill>
    </fill>
    <fill>
      <patternFill patternType="solid">
        <fgColor rgb="FFFFFF00"/>
        <bgColor indexed="64"/>
      </patternFill>
    </fill>
    <fill>
      <patternFill patternType="solid">
        <fgColor theme="2" tint="-0.249977111117893"/>
        <bgColor indexed="64"/>
      </patternFill>
    </fill>
  </fills>
  <borders count="2">
    <border>
      <left/>
      <right/>
      <top/>
      <bottom/>
      <diagonal/>
    </border>
    <border>
      <left style="thin">
        <color auto="1"/>
      </left>
      <right/>
      <top/>
      <bottom/>
      <diagonal/>
    </border>
  </borders>
  <cellStyleXfs count="108">
    <xf numFmtId="0" fontId="0" fillId="0" borderId="0"/>
    <xf numFmtId="0" fontId="1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76">
    <xf numFmtId="0" fontId="0" fillId="0" borderId="0" xfId="0"/>
    <xf numFmtId="0" fontId="1" fillId="0" borderId="0" xfId="0" applyFont="1"/>
    <xf numFmtId="0" fontId="3" fillId="0" borderId="0" xfId="0" applyFont="1"/>
    <xf numFmtId="0" fontId="4" fillId="0" borderId="0" xfId="0" applyFont="1"/>
    <xf numFmtId="14" fontId="4" fillId="0" borderId="0" xfId="0" applyNumberFormat="1" applyFont="1"/>
    <xf numFmtId="2" fontId="4" fillId="0" borderId="0" xfId="0" applyNumberFormat="1" applyFont="1"/>
    <xf numFmtId="164" fontId="4" fillId="0" borderId="0" xfId="0" applyNumberFormat="1" applyFont="1"/>
    <xf numFmtId="0" fontId="5" fillId="0" borderId="0" xfId="0" applyFont="1"/>
    <xf numFmtId="2" fontId="6" fillId="0" borderId="0" xfId="0" applyNumberFormat="1" applyFont="1"/>
    <xf numFmtId="0" fontId="7" fillId="0" borderId="0" xfId="0" applyFont="1"/>
    <xf numFmtId="2" fontId="0" fillId="0" borderId="0" xfId="0" applyNumberFormat="1"/>
    <xf numFmtId="2" fontId="3" fillId="0" borderId="0" xfId="0" applyNumberFormat="1" applyFont="1"/>
    <xf numFmtId="0" fontId="6" fillId="0" borderId="0" xfId="0" applyFont="1"/>
    <xf numFmtId="1" fontId="4" fillId="0" borderId="0" xfId="0" applyNumberFormat="1" applyFont="1"/>
    <xf numFmtId="0" fontId="8" fillId="0" borderId="0" xfId="0" applyFont="1" applyAlignment="1">
      <alignment vertical="top" wrapText="1"/>
    </xf>
    <xf numFmtId="0" fontId="8" fillId="0" borderId="0" xfId="0" applyFont="1" applyAlignment="1">
      <alignment wrapText="1"/>
    </xf>
    <xf numFmtId="2" fontId="5" fillId="0" borderId="0" xfId="0" applyNumberFormat="1" applyFont="1"/>
    <xf numFmtId="0" fontId="4" fillId="0" borderId="0" xfId="0" applyFont="1" applyAlignment="1">
      <alignment vertical="top" wrapText="1"/>
    </xf>
    <xf numFmtId="1" fontId="0" fillId="0" borderId="0" xfId="0" applyNumberFormat="1"/>
    <xf numFmtId="1" fontId="0" fillId="0" borderId="0" xfId="0" applyNumberFormat="1" applyAlignment="1">
      <alignment horizontal="center"/>
    </xf>
    <xf numFmtId="165" fontId="0" fillId="0" borderId="0" xfId="0" applyNumberFormat="1"/>
    <xf numFmtId="164" fontId="0" fillId="0" borderId="0" xfId="0" applyNumberFormat="1"/>
    <xf numFmtId="0" fontId="3" fillId="0" borderId="0" xfId="0" applyFont="1" applyAlignment="1">
      <alignment horizontal="center"/>
    </xf>
    <xf numFmtId="1" fontId="3" fillId="0" borderId="0" xfId="0" applyNumberFormat="1" applyFont="1" applyAlignment="1">
      <alignment horizontal="center"/>
    </xf>
    <xf numFmtId="0" fontId="9" fillId="0" borderId="0" xfId="0" applyFont="1"/>
    <xf numFmtId="0" fontId="10" fillId="0" borderId="0" xfId="1" applyAlignment="1">
      <alignment horizontal="left"/>
    </xf>
    <xf numFmtId="0" fontId="10" fillId="0" borderId="0" xfId="1"/>
    <xf numFmtId="0" fontId="9" fillId="0" borderId="0" xfId="0" applyFont="1" applyAlignment="1">
      <alignment vertical="top" wrapText="1"/>
    </xf>
    <xf numFmtId="165" fontId="4" fillId="0" borderId="0" xfId="0" applyNumberFormat="1" applyFont="1"/>
    <xf numFmtId="0" fontId="11" fillId="0" borderId="0" xfId="0" applyFont="1"/>
    <xf numFmtId="0" fontId="7" fillId="2" borderId="0" xfId="0" applyFont="1" applyFill="1"/>
    <xf numFmtId="0" fontId="4" fillId="3" borderId="0" xfId="0" applyFont="1" applyFill="1"/>
    <xf numFmtId="0" fontId="7" fillId="3" borderId="0" xfId="0" applyFont="1" applyFill="1"/>
    <xf numFmtId="0" fontId="11" fillId="3" borderId="0" xfId="0" applyFont="1" applyFill="1"/>
    <xf numFmtId="0" fontId="0" fillId="3" borderId="0" xfId="0" applyFill="1"/>
    <xf numFmtId="0" fontId="1" fillId="3" borderId="0" xfId="0" applyFont="1" applyFill="1"/>
    <xf numFmtId="165" fontId="0" fillId="3" borderId="0" xfId="0" applyNumberFormat="1" applyFill="1"/>
    <xf numFmtId="165" fontId="4" fillId="3" borderId="0" xfId="0" applyNumberFormat="1" applyFont="1" applyFill="1"/>
    <xf numFmtId="2" fontId="0" fillId="3" borderId="0" xfId="0" applyNumberFormat="1" applyFill="1"/>
    <xf numFmtId="2" fontId="4" fillId="3" borderId="0" xfId="0" applyNumberFormat="1" applyFont="1" applyFill="1"/>
    <xf numFmtId="1" fontId="0" fillId="3" borderId="0" xfId="0" applyNumberFormat="1" applyFill="1"/>
    <xf numFmtId="164" fontId="0" fillId="3" borderId="0" xfId="0" applyNumberFormat="1" applyFill="1"/>
    <xf numFmtId="0" fontId="9" fillId="3" borderId="0" xfId="0" applyFont="1" applyFill="1"/>
    <xf numFmtId="2" fontId="6" fillId="3" borderId="0" xfId="0" applyNumberFormat="1" applyFont="1" applyFill="1"/>
    <xf numFmtId="165" fontId="6" fillId="3" borderId="0" xfId="0" applyNumberFormat="1" applyFont="1" applyFill="1"/>
    <xf numFmtId="1" fontId="6" fillId="3" borderId="0" xfId="0" applyNumberFormat="1" applyFont="1" applyFill="1"/>
    <xf numFmtId="0" fontId="14" fillId="0" borderId="0" xfId="0" applyFont="1"/>
    <xf numFmtId="3" fontId="0" fillId="0" borderId="0" xfId="0" applyNumberFormat="1"/>
    <xf numFmtId="165" fontId="4" fillId="0" borderId="0" xfId="0" applyNumberFormat="1" applyFont="1" applyAlignment="1">
      <alignment horizontal="center"/>
    </xf>
    <xf numFmtId="2" fontId="4" fillId="0" borderId="0" xfId="0" applyNumberFormat="1" applyFont="1" applyAlignment="1">
      <alignment horizontal="center"/>
    </xf>
    <xf numFmtId="164" fontId="4" fillId="0" borderId="0" xfId="0" applyNumberFormat="1" applyFont="1" applyAlignment="1">
      <alignment horizontal="center"/>
    </xf>
    <xf numFmtId="166" fontId="4" fillId="0" borderId="0" xfId="0" applyNumberFormat="1" applyFont="1" applyAlignment="1">
      <alignment horizontal="center"/>
    </xf>
    <xf numFmtId="49" fontId="0" fillId="0" borderId="0" xfId="0" applyNumberFormat="1"/>
    <xf numFmtId="165" fontId="0" fillId="0" borderId="0" xfId="0" applyNumberFormat="1" applyAlignment="1">
      <alignment horizontal="center"/>
    </xf>
    <xf numFmtId="2" fontId="0" fillId="0" borderId="0" xfId="0" applyNumberFormat="1" applyAlignment="1">
      <alignment horizontal="center"/>
    </xf>
    <xf numFmtId="0" fontId="15" fillId="0" borderId="0" xfId="0" applyFont="1"/>
    <xf numFmtId="0" fontId="4" fillId="0" borderId="0" xfId="0" applyFont="1" applyAlignment="1">
      <alignment horizontal="center"/>
    </xf>
    <xf numFmtId="0" fontId="0" fillId="0" borderId="0" xfId="0" applyAlignment="1">
      <alignment horizontal="center"/>
    </xf>
    <xf numFmtId="165" fontId="6" fillId="0" borderId="0" xfId="0" applyNumberFormat="1" applyFont="1"/>
    <xf numFmtId="1" fontId="6" fillId="0" borderId="0" xfId="0" applyNumberFormat="1" applyFont="1"/>
    <xf numFmtId="164" fontId="6" fillId="0" borderId="0" xfId="0" applyNumberFormat="1" applyFont="1"/>
    <xf numFmtId="0" fontId="9" fillId="4" borderId="0" xfId="0" applyFont="1" applyFill="1"/>
    <xf numFmtId="3" fontId="6" fillId="0" borderId="0" xfId="0" applyNumberFormat="1" applyFont="1"/>
    <xf numFmtId="0" fontId="7" fillId="0" borderId="0" xfId="0" applyFont="1" applyAlignment="1">
      <alignment horizontal="center"/>
    </xf>
    <xf numFmtId="0" fontId="16" fillId="0" borderId="0" xfId="0" applyFont="1"/>
    <xf numFmtId="167" fontId="4" fillId="0" borderId="0" xfId="0" applyNumberFormat="1" applyFont="1" applyAlignment="1">
      <alignment horizontal="center"/>
    </xf>
    <xf numFmtId="164" fontId="0" fillId="0" borderId="0" xfId="0" applyNumberFormat="1" applyAlignment="1">
      <alignment horizontal="center"/>
    </xf>
    <xf numFmtId="2" fontId="17" fillId="0" borderId="0" xfId="0" applyNumberFormat="1" applyFont="1" applyAlignment="1">
      <alignment horizontal="center"/>
    </xf>
    <xf numFmtId="0" fontId="18" fillId="0" borderId="0" xfId="0" applyFont="1"/>
    <xf numFmtId="0" fontId="19" fillId="0" borderId="0" xfId="0" applyFont="1"/>
    <xf numFmtId="0" fontId="20" fillId="0" borderId="0" xfId="0" applyFont="1"/>
    <xf numFmtId="0" fontId="21" fillId="0" borderId="0" xfId="0" applyFont="1" applyAlignment="1">
      <alignment horizontal="center" vertical="center"/>
    </xf>
    <xf numFmtId="166" fontId="0" fillId="0" borderId="0" xfId="0" applyNumberFormat="1" applyAlignment="1">
      <alignment horizontal="center"/>
    </xf>
    <xf numFmtId="168" fontId="0" fillId="0" borderId="0" xfId="0" applyNumberFormat="1" applyAlignment="1">
      <alignment horizontal="center"/>
    </xf>
    <xf numFmtId="0" fontId="22" fillId="0" borderId="1" xfId="0" applyFont="1" applyBorder="1"/>
    <xf numFmtId="167" fontId="0" fillId="0" borderId="0" xfId="0" applyNumberFormat="1" applyAlignment="1">
      <alignment horizontal="center"/>
    </xf>
  </cellXfs>
  <cellStyles count="108">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Normal" xfId="0" builtinId="0"/>
    <cellStyle name="Normal 2" xfId="1" xr:uid="{00000000-0005-0000-0000-00006B000000}"/>
  </cellStyles>
  <dxfs count="4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DR1 &amp; 3 Rb-Sr</a:t>
            </a:r>
          </a:p>
        </c:rich>
      </c:tx>
      <c:overlay val="0"/>
    </c:title>
    <c:autoTitleDeleted val="0"/>
    <c:plotArea>
      <c:layout/>
      <c:scatterChart>
        <c:scatterStyle val="lineMarker"/>
        <c:varyColors val="0"/>
        <c:ser>
          <c:idx val="0"/>
          <c:order val="0"/>
          <c:tx>
            <c:v>DR3</c:v>
          </c:tx>
          <c:spPr>
            <a:ln w="47625">
              <a:noFill/>
            </a:ln>
          </c:spPr>
          <c:xVal>
            <c:numRef>
              <c:f>'UoM traces &amp; isotopes'!$B$64:$D$64</c:f>
              <c:numCache>
                <c:formatCode>0.00</c:formatCode>
                <c:ptCount val="3"/>
                <c:pt idx="0">
                  <c:v>8.32</c:v>
                </c:pt>
                <c:pt idx="1">
                  <c:v>2.35</c:v>
                </c:pt>
                <c:pt idx="2">
                  <c:v>6.49</c:v>
                </c:pt>
              </c:numCache>
            </c:numRef>
          </c:xVal>
          <c:yVal>
            <c:numRef>
              <c:f>'UoM traces &amp; isotopes'!$B$65:$D$65</c:f>
              <c:numCache>
                <c:formatCode>General</c:formatCode>
                <c:ptCount val="3"/>
                <c:pt idx="0">
                  <c:v>0.98531000000000002</c:v>
                </c:pt>
                <c:pt idx="1">
                  <c:v>0.751444</c:v>
                </c:pt>
                <c:pt idx="2">
                  <c:v>0.86860300000000001</c:v>
                </c:pt>
              </c:numCache>
            </c:numRef>
          </c:yVal>
          <c:smooth val="0"/>
          <c:extLst>
            <c:ext xmlns:c16="http://schemas.microsoft.com/office/drawing/2014/chart" uri="{C3380CC4-5D6E-409C-BE32-E72D297353CC}">
              <c16:uniqueId val="{00000000-28C2-7B46-89E0-A0D3A5DA109A}"/>
            </c:ext>
          </c:extLst>
        </c:ser>
        <c:ser>
          <c:idx val="1"/>
          <c:order val="1"/>
          <c:tx>
            <c:v>DR1</c:v>
          </c:tx>
          <c:spPr>
            <a:ln w="47625">
              <a:noFill/>
            </a:ln>
          </c:spPr>
          <c:xVal>
            <c:numRef>
              <c:f>'UoM traces &amp; isotopes'!$E$64:$G$64</c:f>
              <c:numCache>
                <c:formatCode>0.00</c:formatCode>
                <c:ptCount val="3"/>
                <c:pt idx="0">
                  <c:v>5.64</c:v>
                </c:pt>
                <c:pt idx="1">
                  <c:v>5.19</c:v>
                </c:pt>
                <c:pt idx="2">
                  <c:v>5.88</c:v>
                </c:pt>
              </c:numCache>
            </c:numRef>
          </c:xVal>
          <c:yVal>
            <c:numRef>
              <c:f>'UoM traces &amp; isotopes'!$E$65:$G$65</c:f>
              <c:numCache>
                <c:formatCode>0.000000</c:formatCode>
                <c:ptCount val="3"/>
                <c:pt idx="0" formatCode="General">
                  <c:v>0.78254299999999999</c:v>
                </c:pt>
                <c:pt idx="1">
                  <c:v>0.77892000000000006</c:v>
                </c:pt>
                <c:pt idx="2" formatCode="General">
                  <c:v>0.78405599999999998</c:v>
                </c:pt>
              </c:numCache>
            </c:numRef>
          </c:yVal>
          <c:smooth val="0"/>
          <c:extLst>
            <c:ext xmlns:c16="http://schemas.microsoft.com/office/drawing/2014/chart" uri="{C3380CC4-5D6E-409C-BE32-E72D297353CC}">
              <c16:uniqueId val="{00000001-28C2-7B46-89E0-A0D3A5DA109A}"/>
            </c:ext>
          </c:extLst>
        </c:ser>
        <c:dLbls>
          <c:showLegendKey val="0"/>
          <c:showVal val="0"/>
          <c:showCatName val="0"/>
          <c:showSerName val="0"/>
          <c:showPercent val="0"/>
          <c:showBubbleSize val="0"/>
        </c:dLbls>
        <c:axId val="-2026596648"/>
        <c:axId val="-2026591272"/>
      </c:scatterChart>
      <c:valAx>
        <c:axId val="-2026596648"/>
        <c:scaling>
          <c:orientation val="minMax"/>
        </c:scaling>
        <c:delete val="0"/>
        <c:axPos val="b"/>
        <c:title>
          <c:tx>
            <c:rich>
              <a:bodyPr/>
              <a:lstStyle/>
              <a:p>
                <a:pPr>
                  <a:defRPr/>
                </a:pPr>
                <a:r>
                  <a:rPr lang="en-US"/>
                  <a:t>87Rb/86Sr</a:t>
                </a:r>
              </a:p>
            </c:rich>
          </c:tx>
          <c:overlay val="0"/>
        </c:title>
        <c:numFmt formatCode="0.00" sourceLinked="1"/>
        <c:majorTickMark val="in"/>
        <c:minorTickMark val="none"/>
        <c:tickLblPos val="nextTo"/>
        <c:crossAx val="-2026591272"/>
        <c:crosses val="autoZero"/>
        <c:crossBetween val="midCat"/>
      </c:valAx>
      <c:valAx>
        <c:axId val="-2026591272"/>
        <c:scaling>
          <c:orientation val="minMax"/>
        </c:scaling>
        <c:delete val="0"/>
        <c:axPos val="l"/>
        <c:majorGridlines/>
        <c:title>
          <c:tx>
            <c:rich>
              <a:bodyPr/>
              <a:lstStyle/>
              <a:p>
                <a:pPr>
                  <a:defRPr/>
                </a:pPr>
                <a:r>
                  <a:rPr lang="en-US"/>
                  <a:t>87Sr/86Sr</a:t>
                </a:r>
              </a:p>
            </c:rich>
          </c:tx>
          <c:overlay val="0"/>
        </c:title>
        <c:numFmt formatCode="General" sourceLinked="1"/>
        <c:majorTickMark val="none"/>
        <c:minorTickMark val="none"/>
        <c:tickLblPos val="nextTo"/>
        <c:crossAx val="-2026596648"/>
        <c:crosses val="autoZero"/>
        <c:crossBetween val="midCat"/>
      </c:valAx>
    </c:plotArea>
    <c:legend>
      <c:legendPos val="r"/>
      <c:overlay val="0"/>
    </c:legend>
    <c:plotVisOnly val="1"/>
    <c:dispBlanksAs val="gap"/>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RbSr for DR1</a:t>
            </a:r>
          </a:p>
        </c:rich>
      </c:tx>
      <c:overlay val="0"/>
    </c:title>
    <c:autoTitleDeleted val="0"/>
    <c:plotArea>
      <c:layout/>
      <c:scatterChart>
        <c:scatterStyle val="lineMarker"/>
        <c:varyColors val="0"/>
        <c:ser>
          <c:idx val="0"/>
          <c:order val="0"/>
          <c:spPr>
            <a:ln w="47625">
              <a:noFill/>
            </a:ln>
          </c:spPr>
          <c:trendline>
            <c:trendlineType val="linear"/>
            <c:dispRSqr val="0"/>
            <c:dispEq val="0"/>
          </c:trendline>
          <c:xVal>
            <c:numRef>
              <c:f>'UoM traces &amp; isotopes'!$E$64:$G$64</c:f>
              <c:numCache>
                <c:formatCode>0.00</c:formatCode>
                <c:ptCount val="3"/>
                <c:pt idx="0">
                  <c:v>5.64</c:v>
                </c:pt>
                <c:pt idx="1">
                  <c:v>5.19</c:v>
                </c:pt>
                <c:pt idx="2">
                  <c:v>5.88</c:v>
                </c:pt>
              </c:numCache>
            </c:numRef>
          </c:xVal>
          <c:yVal>
            <c:numRef>
              <c:f>'UoM traces &amp; isotopes'!$E$65:$G$65</c:f>
              <c:numCache>
                <c:formatCode>0.000000</c:formatCode>
                <c:ptCount val="3"/>
                <c:pt idx="0" formatCode="General">
                  <c:v>0.78254299999999999</c:v>
                </c:pt>
                <c:pt idx="1">
                  <c:v>0.77892000000000006</c:v>
                </c:pt>
                <c:pt idx="2" formatCode="General">
                  <c:v>0.78405599999999998</c:v>
                </c:pt>
              </c:numCache>
            </c:numRef>
          </c:yVal>
          <c:smooth val="0"/>
          <c:extLst>
            <c:ext xmlns:c16="http://schemas.microsoft.com/office/drawing/2014/chart" uri="{C3380CC4-5D6E-409C-BE32-E72D297353CC}">
              <c16:uniqueId val="{00000001-8BCC-964B-975D-837A82B4EA2B}"/>
            </c:ext>
          </c:extLst>
        </c:ser>
        <c:dLbls>
          <c:showLegendKey val="0"/>
          <c:showVal val="0"/>
          <c:showCatName val="0"/>
          <c:showSerName val="0"/>
          <c:showPercent val="0"/>
          <c:showBubbleSize val="0"/>
        </c:dLbls>
        <c:axId val="-2141120552"/>
        <c:axId val="-2026775384"/>
      </c:scatterChart>
      <c:valAx>
        <c:axId val="-2141120552"/>
        <c:scaling>
          <c:orientation val="minMax"/>
        </c:scaling>
        <c:delete val="0"/>
        <c:axPos val="b"/>
        <c:title>
          <c:tx>
            <c:rich>
              <a:bodyPr/>
              <a:lstStyle/>
              <a:p>
                <a:pPr>
                  <a:defRPr/>
                </a:pPr>
                <a:r>
                  <a:rPr lang="en-US"/>
                  <a:t>87Rb/86Sr</a:t>
                </a:r>
              </a:p>
            </c:rich>
          </c:tx>
          <c:overlay val="0"/>
        </c:title>
        <c:numFmt formatCode="0.00" sourceLinked="1"/>
        <c:majorTickMark val="in"/>
        <c:minorTickMark val="none"/>
        <c:tickLblPos val="nextTo"/>
        <c:crossAx val="-2026775384"/>
        <c:crosses val="autoZero"/>
        <c:crossBetween val="midCat"/>
      </c:valAx>
      <c:valAx>
        <c:axId val="-2026775384"/>
        <c:scaling>
          <c:orientation val="minMax"/>
        </c:scaling>
        <c:delete val="0"/>
        <c:axPos val="l"/>
        <c:majorGridlines/>
        <c:title>
          <c:tx>
            <c:rich>
              <a:bodyPr/>
              <a:lstStyle/>
              <a:p>
                <a:pPr>
                  <a:defRPr/>
                </a:pPr>
                <a:r>
                  <a:rPr lang="en-US"/>
                  <a:t>87Sr/86Sr</a:t>
                </a:r>
              </a:p>
            </c:rich>
          </c:tx>
          <c:overlay val="0"/>
        </c:title>
        <c:numFmt formatCode="General" sourceLinked="1"/>
        <c:majorTickMark val="none"/>
        <c:minorTickMark val="none"/>
        <c:tickLblPos val="nextTo"/>
        <c:crossAx val="-2141120552"/>
        <c:crosses val="autoZero"/>
        <c:crossBetween val="midCat"/>
      </c:valAx>
    </c:plotArea>
    <c:legend>
      <c:legendPos val="r"/>
      <c:overlay val="0"/>
    </c:legend>
    <c:plotVisOnly val="1"/>
    <c:dispBlanksAs val="gap"/>
    <c:showDLblsOverMax val="0"/>
  </c:chart>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DR1 &amp;3 Sm-Nd</a:t>
            </a:r>
          </a:p>
        </c:rich>
      </c:tx>
      <c:overlay val="0"/>
    </c:title>
    <c:autoTitleDeleted val="0"/>
    <c:plotArea>
      <c:layout/>
      <c:scatterChart>
        <c:scatterStyle val="lineMarker"/>
        <c:varyColors val="0"/>
        <c:ser>
          <c:idx val="0"/>
          <c:order val="0"/>
          <c:tx>
            <c:v>DR3</c:v>
          </c:tx>
          <c:spPr>
            <a:ln w="47625">
              <a:noFill/>
            </a:ln>
          </c:spPr>
          <c:xVal>
            <c:numRef>
              <c:f>'UoM traces &amp; isotopes'!$B$69:$D$69</c:f>
              <c:numCache>
                <c:formatCode>0.000</c:formatCode>
                <c:ptCount val="3"/>
                <c:pt idx="0">
                  <c:v>0.11261233147958549</c:v>
                </c:pt>
                <c:pt idx="1">
                  <c:v>0.10088764558264419</c:v>
                </c:pt>
                <c:pt idx="2">
                  <c:v>0.10729255944136376</c:v>
                </c:pt>
              </c:numCache>
            </c:numRef>
          </c:xVal>
          <c:yVal>
            <c:numRef>
              <c:f>'UoM traces &amp; isotopes'!$B$70:$D$70</c:f>
              <c:numCache>
                <c:formatCode>General</c:formatCode>
                <c:ptCount val="3"/>
                <c:pt idx="0">
                  <c:v>0.51119399999999993</c:v>
                </c:pt>
                <c:pt idx="1">
                  <c:v>0.51169100000000001</c:v>
                </c:pt>
                <c:pt idx="2">
                  <c:v>0.511957</c:v>
                </c:pt>
              </c:numCache>
            </c:numRef>
          </c:yVal>
          <c:smooth val="0"/>
          <c:extLst>
            <c:ext xmlns:c16="http://schemas.microsoft.com/office/drawing/2014/chart" uri="{C3380CC4-5D6E-409C-BE32-E72D297353CC}">
              <c16:uniqueId val="{00000000-054E-B544-8048-27CA324351C5}"/>
            </c:ext>
          </c:extLst>
        </c:ser>
        <c:ser>
          <c:idx val="1"/>
          <c:order val="1"/>
          <c:tx>
            <c:v>DR1</c:v>
          </c:tx>
          <c:spPr>
            <a:ln w="47625">
              <a:noFill/>
            </a:ln>
          </c:spPr>
          <c:xVal>
            <c:numRef>
              <c:f>'UoM traces &amp; isotopes'!$E$69:$G$69</c:f>
              <c:numCache>
                <c:formatCode>0.000</c:formatCode>
                <c:ptCount val="3"/>
                <c:pt idx="0">
                  <c:v>0.11665502075897245</c:v>
                </c:pt>
                <c:pt idx="1">
                  <c:v>0.10240296817558053</c:v>
                </c:pt>
                <c:pt idx="2">
                  <c:v>9.0925220175117713E-2</c:v>
                </c:pt>
              </c:numCache>
            </c:numRef>
          </c:xVal>
          <c:yVal>
            <c:numRef>
              <c:f>'UoM traces &amp; isotopes'!$E$70:$G$70</c:f>
              <c:numCache>
                <c:formatCode>General</c:formatCode>
                <c:ptCount val="3"/>
                <c:pt idx="0">
                  <c:v>0.511405</c:v>
                </c:pt>
                <c:pt idx="1">
                  <c:v>0.51131599999999999</c:v>
                </c:pt>
                <c:pt idx="2">
                  <c:v>0.51128099999999999</c:v>
                </c:pt>
              </c:numCache>
            </c:numRef>
          </c:yVal>
          <c:smooth val="0"/>
          <c:extLst>
            <c:ext xmlns:c16="http://schemas.microsoft.com/office/drawing/2014/chart" uri="{C3380CC4-5D6E-409C-BE32-E72D297353CC}">
              <c16:uniqueId val="{00000001-054E-B544-8048-27CA324351C5}"/>
            </c:ext>
          </c:extLst>
        </c:ser>
        <c:dLbls>
          <c:showLegendKey val="0"/>
          <c:showVal val="0"/>
          <c:showCatName val="0"/>
          <c:showSerName val="0"/>
          <c:showPercent val="0"/>
          <c:showBubbleSize val="0"/>
        </c:dLbls>
        <c:axId val="-2025983416"/>
        <c:axId val="-2025977928"/>
      </c:scatterChart>
      <c:valAx>
        <c:axId val="-2025983416"/>
        <c:scaling>
          <c:orientation val="minMax"/>
        </c:scaling>
        <c:delete val="0"/>
        <c:axPos val="b"/>
        <c:title>
          <c:tx>
            <c:rich>
              <a:bodyPr/>
              <a:lstStyle/>
              <a:p>
                <a:pPr>
                  <a:defRPr/>
                </a:pPr>
                <a:r>
                  <a:rPr lang="en-US"/>
                  <a:t>147Sm/144Nd</a:t>
                </a:r>
              </a:p>
            </c:rich>
          </c:tx>
          <c:overlay val="0"/>
        </c:title>
        <c:numFmt formatCode="0.000" sourceLinked="1"/>
        <c:majorTickMark val="none"/>
        <c:minorTickMark val="none"/>
        <c:tickLblPos val="nextTo"/>
        <c:crossAx val="-2025977928"/>
        <c:crosses val="autoZero"/>
        <c:crossBetween val="midCat"/>
      </c:valAx>
      <c:valAx>
        <c:axId val="-2025977928"/>
        <c:scaling>
          <c:orientation val="minMax"/>
        </c:scaling>
        <c:delete val="0"/>
        <c:axPos val="l"/>
        <c:majorGridlines/>
        <c:title>
          <c:tx>
            <c:rich>
              <a:bodyPr/>
              <a:lstStyle/>
              <a:p>
                <a:pPr>
                  <a:defRPr/>
                </a:pPr>
                <a:r>
                  <a:rPr lang="en-US"/>
                  <a:t>143Nd/144Nd</a:t>
                </a:r>
              </a:p>
            </c:rich>
          </c:tx>
          <c:overlay val="0"/>
        </c:title>
        <c:numFmt formatCode="General" sourceLinked="1"/>
        <c:majorTickMark val="none"/>
        <c:minorTickMark val="none"/>
        <c:tickLblPos val="nextTo"/>
        <c:crossAx val="-2025983416"/>
        <c:crosses val="autoZero"/>
        <c:crossBetween val="midCat"/>
      </c:valAx>
    </c:plotArea>
    <c:legend>
      <c:legendPos val="r"/>
      <c:overlay val="0"/>
    </c:legend>
    <c:plotVisOnly val="1"/>
    <c:dispBlanksAs val="gap"/>
    <c:showDLblsOverMax val="0"/>
  </c:chart>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DR3 &amp;1 Lu-Hf</a:t>
            </a:r>
          </a:p>
        </c:rich>
      </c:tx>
      <c:overlay val="0"/>
    </c:title>
    <c:autoTitleDeleted val="0"/>
    <c:plotArea>
      <c:layout/>
      <c:scatterChart>
        <c:scatterStyle val="lineMarker"/>
        <c:varyColors val="0"/>
        <c:ser>
          <c:idx val="0"/>
          <c:order val="0"/>
          <c:tx>
            <c:v>DR3</c:v>
          </c:tx>
          <c:spPr>
            <a:ln w="47625">
              <a:noFill/>
            </a:ln>
          </c:spPr>
          <c:xVal>
            <c:numRef>
              <c:f>'UoM traces &amp; isotopes'!$B$77:$D$77</c:f>
              <c:numCache>
                <c:formatCode>0.0000</c:formatCode>
                <c:ptCount val="3"/>
                <c:pt idx="0">
                  <c:v>7.1864790109106309E-3</c:v>
                </c:pt>
                <c:pt idx="1">
                  <c:v>2.2338019520923352E-3</c:v>
                </c:pt>
                <c:pt idx="2">
                  <c:v>4.0333679840646479E-3</c:v>
                </c:pt>
              </c:numCache>
            </c:numRef>
          </c:xVal>
          <c:yVal>
            <c:numRef>
              <c:f>'UoM traces &amp; isotopes'!$B$78:$D$78</c:f>
              <c:numCache>
                <c:formatCode>General</c:formatCode>
                <c:ptCount val="3"/>
                <c:pt idx="0">
                  <c:v>0.28178340000000002</c:v>
                </c:pt>
                <c:pt idx="1">
                  <c:v>0.28218520000000002</c:v>
                </c:pt>
                <c:pt idx="2">
                  <c:v>0.282254</c:v>
                </c:pt>
              </c:numCache>
            </c:numRef>
          </c:yVal>
          <c:smooth val="0"/>
          <c:extLst>
            <c:ext xmlns:c16="http://schemas.microsoft.com/office/drawing/2014/chart" uri="{C3380CC4-5D6E-409C-BE32-E72D297353CC}">
              <c16:uniqueId val="{00000000-1E50-0C47-9E2C-34ADA429E4E6}"/>
            </c:ext>
          </c:extLst>
        </c:ser>
        <c:ser>
          <c:idx val="1"/>
          <c:order val="1"/>
          <c:tx>
            <c:v>DR1</c:v>
          </c:tx>
          <c:spPr>
            <a:ln w="47625">
              <a:noFill/>
            </a:ln>
          </c:spPr>
          <c:xVal>
            <c:numRef>
              <c:f>'UoM traces &amp; isotopes'!$E$77:$G$77</c:f>
              <c:numCache>
                <c:formatCode>0.0000</c:formatCode>
                <c:ptCount val="3"/>
                <c:pt idx="0">
                  <c:v>6.8235462444631613E-3</c:v>
                </c:pt>
                <c:pt idx="1">
                  <c:v>1.1393063214823028E-2</c:v>
                </c:pt>
                <c:pt idx="2">
                  <c:v>1.6977800849975241E-3</c:v>
                </c:pt>
              </c:numCache>
            </c:numRef>
          </c:xVal>
          <c:yVal>
            <c:numRef>
              <c:f>'UoM traces &amp; isotopes'!$E$78:$G$78</c:f>
              <c:numCache>
                <c:formatCode>General</c:formatCode>
                <c:ptCount val="3"/>
                <c:pt idx="0">
                  <c:v>0.28175119999999998</c:v>
                </c:pt>
                <c:pt idx="1">
                  <c:v>0.28165400000000002</c:v>
                </c:pt>
                <c:pt idx="2">
                  <c:v>0.28171180000000001</c:v>
                </c:pt>
              </c:numCache>
            </c:numRef>
          </c:yVal>
          <c:smooth val="0"/>
          <c:extLst>
            <c:ext xmlns:c16="http://schemas.microsoft.com/office/drawing/2014/chart" uri="{C3380CC4-5D6E-409C-BE32-E72D297353CC}">
              <c16:uniqueId val="{00000001-1E50-0C47-9E2C-34ADA429E4E6}"/>
            </c:ext>
          </c:extLst>
        </c:ser>
        <c:dLbls>
          <c:showLegendKey val="0"/>
          <c:showVal val="0"/>
          <c:showCatName val="0"/>
          <c:showSerName val="0"/>
          <c:showPercent val="0"/>
          <c:showBubbleSize val="0"/>
        </c:dLbls>
        <c:axId val="-2025967032"/>
        <c:axId val="-2025961544"/>
      </c:scatterChart>
      <c:valAx>
        <c:axId val="-2025967032"/>
        <c:scaling>
          <c:orientation val="minMax"/>
        </c:scaling>
        <c:delete val="0"/>
        <c:axPos val="b"/>
        <c:title>
          <c:tx>
            <c:rich>
              <a:bodyPr/>
              <a:lstStyle/>
              <a:p>
                <a:pPr>
                  <a:defRPr/>
                </a:pPr>
                <a:r>
                  <a:rPr lang="en-US"/>
                  <a:t>176Lu/177Hf</a:t>
                </a:r>
              </a:p>
            </c:rich>
          </c:tx>
          <c:overlay val="0"/>
        </c:title>
        <c:numFmt formatCode="0.0000" sourceLinked="1"/>
        <c:majorTickMark val="none"/>
        <c:minorTickMark val="none"/>
        <c:tickLblPos val="nextTo"/>
        <c:crossAx val="-2025961544"/>
        <c:crosses val="autoZero"/>
        <c:crossBetween val="midCat"/>
      </c:valAx>
      <c:valAx>
        <c:axId val="-2025961544"/>
        <c:scaling>
          <c:orientation val="minMax"/>
        </c:scaling>
        <c:delete val="0"/>
        <c:axPos val="l"/>
        <c:majorGridlines/>
        <c:title>
          <c:tx>
            <c:rich>
              <a:bodyPr/>
              <a:lstStyle/>
              <a:p>
                <a:pPr>
                  <a:defRPr/>
                </a:pPr>
                <a:r>
                  <a:rPr lang="en-US"/>
                  <a:t>176Hf/177Hf</a:t>
                </a:r>
              </a:p>
            </c:rich>
          </c:tx>
          <c:overlay val="0"/>
        </c:title>
        <c:numFmt formatCode="General" sourceLinked="1"/>
        <c:majorTickMark val="none"/>
        <c:minorTickMark val="none"/>
        <c:tickLblPos val="nextTo"/>
        <c:crossAx val="-2025967032"/>
        <c:crosses val="autoZero"/>
        <c:crossBetween val="midCat"/>
      </c:valAx>
    </c:plotArea>
    <c:legend>
      <c:legendPos val="r"/>
      <c:overlay val="0"/>
    </c:legend>
    <c:plotVisOnly val="1"/>
    <c:dispBlanksAs val="gap"/>
    <c:showDLblsOverMax val="0"/>
  </c:chart>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2748849697165302E-2"/>
          <c:y val="1.3576038151129399E-2"/>
          <c:w val="0.79948559246418505"/>
          <c:h val="0.91325540958062501"/>
        </c:manualLayout>
      </c:layout>
      <c:lineChart>
        <c:grouping val="standard"/>
        <c:varyColors val="0"/>
        <c:ser>
          <c:idx val="0"/>
          <c:order val="0"/>
          <c:tx>
            <c:strRef>
              <c:f>[1]ppb!$V$62</c:f>
              <c:strCache>
                <c:ptCount val="1"/>
                <c:pt idx="0">
                  <c:v>DR1-3</c:v>
                </c:pt>
              </c:strCache>
            </c:strRef>
          </c:tx>
          <c:spPr>
            <a:ln w="3175" cmpd="sng"/>
          </c:spPr>
          <c:marker>
            <c:spPr>
              <a:ln w="3175" cmpd="sng"/>
            </c:spPr>
          </c:marker>
          <c:cat>
            <c:strRef>
              <c:f>[1]ppb!$A$63:$A$77</c:f>
              <c:strCache>
                <c:ptCount val="15"/>
                <c:pt idx="0">
                  <c:v>La</c:v>
                </c:pt>
                <c:pt idx="1">
                  <c:v>Ce</c:v>
                </c:pt>
                <c:pt idx="2">
                  <c:v>Pr</c:v>
                </c:pt>
                <c:pt idx="3">
                  <c:v>Nd</c:v>
                </c:pt>
                <c:pt idx="4">
                  <c:v>Pm</c:v>
                </c:pt>
                <c:pt idx="5">
                  <c:v>Sm</c:v>
                </c:pt>
                <c:pt idx="6">
                  <c:v>Eu</c:v>
                </c:pt>
                <c:pt idx="7">
                  <c:v>Gd</c:v>
                </c:pt>
                <c:pt idx="8">
                  <c:v>Tb</c:v>
                </c:pt>
                <c:pt idx="9">
                  <c:v>Dy</c:v>
                </c:pt>
                <c:pt idx="10">
                  <c:v>Ho</c:v>
                </c:pt>
                <c:pt idx="11">
                  <c:v>Er</c:v>
                </c:pt>
                <c:pt idx="12">
                  <c:v>Tm</c:v>
                </c:pt>
                <c:pt idx="13">
                  <c:v>Yb</c:v>
                </c:pt>
                <c:pt idx="14">
                  <c:v>Lu</c:v>
                </c:pt>
              </c:strCache>
            </c:strRef>
          </c:cat>
          <c:val>
            <c:numRef>
              <c:f>[1]ppb!$V$63:$V$77</c:f>
              <c:numCache>
                <c:formatCode>General</c:formatCode>
                <c:ptCount val="15"/>
                <c:pt idx="0">
                  <c:v>191.26691032331843</c:v>
                </c:pt>
                <c:pt idx="1">
                  <c:v>147.35930006962658</c:v>
                </c:pt>
                <c:pt idx="2">
                  <c:v>103.34241131949202</c:v>
                </c:pt>
                <c:pt idx="3">
                  <c:v>67.831886259466074</c:v>
                </c:pt>
                <c:pt idx="4">
                  <c:v>52.042307479965324</c:v>
                </c:pt>
                <c:pt idx="5">
                  <c:v>39.928150567407933</c:v>
                </c:pt>
                <c:pt idx="6">
                  <c:v>36.535419616346807</c:v>
                </c:pt>
                <c:pt idx="7">
                  <c:v>20.186157253687345</c:v>
                </c:pt>
                <c:pt idx="8">
                  <c:v>14.840570161996109</c:v>
                </c:pt>
                <c:pt idx="9">
                  <c:v>9.7901992325554055</c:v>
                </c:pt>
                <c:pt idx="10">
                  <c:v>7.0313494213032595</c:v>
                </c:pt>
                <c:pt idx="11">
                  <c:v>5.7475855503989779</c:v>
                </c:pt>
                <c:pt idx="12">
                  <c:v>5.1900742366042776</c:v>
                </c:pt>
                <c:pt idx="13">
                  <c:v>4.7508742512523723</c:v>
                </c:pt>
                <c:pt idx="14">
                  <c:v>4.2421810178707426</c:v>
                </c:pt>
              </c:numCache>
            </c:numRef>
          </c:val>
          <c:smooth val="0"/>
          <c:extLst>
            <c:ext xmlns:c16="http://schemas.microsoft.com/office/drawing/2014/chart" uri="{C3380CC4-5D6E-409C-BE32-E72D297353CC}">
              <c16:uniqueId val="{00000000-F8F8-BD48-9554-D49097537A6A}"/>
            </c:ext>
          </c:extLst>
        </c:ser>
        <c:ser>
          <c:idx val="1"/>
          <c:order val="1"/>
          <c:tx>
            <c:strRef>
              <c:f>[1]ppb!$W$62</c:f>
              <c:strCache>
                <c:ptCount val="1"/>
                <c:pt idx="0">
                  <c:v>DR1-4</c:v>
                </c:pt>
              </c:strCache>
            </c:strRef>
          </c:tx>
          <c:spPr>
            <a:ln w="3175" cmpd="sng"/>
          </c:spPr>
          <c:marker>
            <c:spPr>
              <a:ln w="3175" cmpd="sng"/>
            </c:spPr>
          </c:marker>
          <c:cat>
            <c:strRef>
              <c:f>[1]ppb!$A$63:$A$77</c:f>
              <c:strCache>
                <c:ptCount val="15"/>
                <c:pt idx="0">
                  <c:v>La</c:v>
                </c:pt>
                <c:pt idx="1">
                  <c:v>Ce</c:v>
                </c:pt>
                <c:pt idx="2">
                  <c:v>Pr</c:v>
                </c:pt>
                <c:pt idx="3">
                  <c:v>Nd</c:v>
                </c:pt>
                <c:pt idx="4">
                  <c:v>Pm</c:v>
                </c:pt>
                <c:pt idx="5">
                  <c:v>Sm</c:v>
                </c:pt>
                <c:pt idx="6">
                  <c:v>Eu</c:v>
                </c:pt>
                <c:pt idx="7">
                  <c:v>Gd</c:v>
                </c:pt>
                <c:pt idx="8">
                  <c:v>Tb</c:v>
                </c:pt>
                <c:pt idx="9">
                  <c:v>Dy</c:v>
                </c:pt>
                <c:pt idx="10">
                  <c:v>Ho</c:v>
                </c:pt>
                <c:pt idx="11">
                  <c:v>Er</c:v>
                </c:pt>
                <c:pt idx="12">
                  <c:v>Tm</c:v>
                </c:pt>
                <c:pt idx="13">
                  <c:v>Yb</c:v>
                </c:pt>
                <c:pt idx="14">
                  <c:v>Lu</c:v>
                </c:pt>
              </c:strCache>
            </c:strRef>
          </c:cat>
          <c:val>
            <c:numRef>
              <c:f>[1]ppb!$W$63:$W$77</c:f>
              <c:numCache>
                <c:formatCode>General</c:formatCode>
                <c:ptCount val="15"/>
                <c:pt idx="0">
                  <c:v>250.81934622730262</c:v>
                </c:pt>
                <c:pt idx="1">
                  <c:v>197.2291760609568</c:v>
                </c:pt>
                <c:pt idx="2">
                  <c:v>140.01350562002457</c:v>
                </c:pt>
                <c:pt idx="3">
                  <c:v>95.212157362846696</c:v>
                </c:pt>
                <c:pt idx="4">
                  <c:v>68.441514438629085</c:v>
                </c:pt>
                <c:pt idx="5">
                  <c:v>49.197928378009131</c:v>
                </c:pt>
                <c:pt idx="6">
                  <c:v>11.493986863675381</c:v>
                </c:pt>
                <c:pt idx="7">
                  <c:v>25.97241301211432</c:v>
                </c:pt>
                <c:pt idx="8">
                  <c:v>18.864866454699566</c:v>
                </c:pt>
                <c:pt idx="9">
                  <c:v>12.950464664700455</c:v>
                </c:pt>
                <c:pt idx="10">
                  <c:v>9.341877505451885</c:v>
                </c:pt>
                <c:pt idx="11">
                  <c:v>7.1622848114647821</c:v>
                </c:pt>
                <c:pt idx="12">
                  <c:v>5.8495007047909287</c:v>
                </c:pt>
                <c:pt idx="13">
                  <c:v>5.0606404154987414</c:v>
                </c:pt>
                <c:pt idx="14">
                  <c:v>4.3622584453167024</c:v>
                </c:pt>
              </c:numCache>
            </c:numRef>
          </c:val>
          <c:smooth val="0"/>
          <c:extLst>
            <c:ext xmlns:c16="http://schemas.microsoft.com/office/drawing/2014/chart" uri="{C3380CC4-5D6E-409C-BE32-E72D297353CC}">
              <c16:uniqueId val="{00000001-F8F8-BD48-9554-D49097537A6A}"/>
            </c:ext>
          </c:extLst>
        </c:ser>
        <c:ser>
          <c:idx val="2"/>
          <c:order val="2"/>
          <c:tx>
            <c:strRef>
              <c:f>[1]ppb!$X$62</c:f>
              <c:strCache>
                <c:ptCount val="1"/>
                <c:pt idx="0">
                  <c:v>DR1-5</c:v>
                </c:pt>
              </c:strCache>
            </c:strRef>
          </c:tx>
          <c:spPr>
            <a:ln w="3175" cmpd="sng"/>
          </c:spPr>
          <c:marker>
            <c:spPr>
              <a:ln w="3175" cmpd="sng"/>
            </c:spPr>
          </c:marker>
          <c:cat>
            <c:strRef>
              <c:f>[1]ppb!$A$63:$A$77</c:f>
              <c:strCache>
                <c:ptCount val="15"/>
                <c:pt idx="0">
                  <c:v>La</c:v>
                </c:pt>
                <c:pt idx="1">
                  <c:v>Ce</c:v>
                </c:pt>
                <c:pt idx="2">
                  <c:v>Pr</c:v>
                </c:pt>
                <c:pt idx="3">
                  <c:v>Nd</c:v>
                </c:pt>
                <c:pt idx="4">
                  <c:v>Pm</c:v>
                </c:pt>
                <c:pt idx="5">
                  <c:v>Sm</c:v>
                </c:pt>
                <c:pt idx="6">
                  <c:v>Eu</c:v>
                </c:pt>
                <c:pt idx="7">
                  <c:v>Gd</c:v>
                </c:pt>
                <c:pt idx="8">
                  <c:v>Tb</c:v>
                </c:pt>
                <c:pt idx="9">
                  <c:v>Dy</c:v>
                </c:pt>
                <c:pt idx="10">
                  <c:v>Ho</c:v>
                </c:pt>
                <c:pt idx="11">
                  <c:v>Er</c:v>
                </c:pt>
                <c:pt idx="12">
                  <c:v>Tm</c:v>
                </c:pt>
                <c:pt idx="13">
                  <c:v>Yb</c:v>
                </c:pt>
                <c:pt idx="14">
                  <c:v>Lu</c:v>
                </c:pt>
              </c:strCache>
            </c:strRef>
          </c:cat>
          <c:val>
            <c:numRef>
              <c:f>[1]ppb!$X$63:$X$77</c:f>
              <c:numCache>
                <c:formatCode>General</c:formatCode>
                <c:ptCount val="15"/>
                <c:pt idx="0">
                  <c:v>171.45949403939059</c:v>
                </c:pt>
                <c:pt idx="1">
                  <c:v>123.45305576201937</c:v>
                </c:pt>
                <c:pt idx="2">
                  <c:v>79.625638483643172</c:v>
                </c:pt>
                <c:pt idx="3">
                  <c:v>52.468949347126426</c:v>
                </c:pt>
                <c:pt idx="4">
                  <c:v>35.539841053457742</c:v>
                </c:pt>
                <c:pt idx="5">
                  <c:v>24.072910127258258</c:v>
                </c:pt>
                <c:pt idx="6">
                  <c:v>22.252439142423647</c:v>
                </c:pt>
                <c:pt idx="7">
                  <c:v>11.320574396558291</c:v>
                </c:pt>
                <c:pt idx="8">
                  <c:v>7.7263148877651879</c:v>
                </c:pt>
                <c:pt idx="9">
                  <c:v>5.5025634183172576</c:v>
                </c:pt>
                <c:pt idx="10">
                  <c:v>4.6881612965807813</c:v>
                </c:pt>
                <c:pt idx="11">
                  <c:v>4.941170377745558</c:v>
                </c:pt>
                <c:pt idx="12">
                  <c:v>5.7504558289646726</c:v>
                </c:pt>
                <c:pt idx="13">
                  <c:v>6.6934734827206777</c:v>
                </c:pt>
                <c:pt idx="14">
                  <c:v>7.5807544841068237</c:v>
                </c:pt>
              </c:numCache>
            </c:numRef>
          </c:val>
          <c:smooth val="0"/>
          <c:extLst>
            <c:ext xmlns:c16="http://schemas.microsoft.com/office/drawing/2014/chart" uri="{C3380CC4-5D6E-409C-BE32-E72D297353CC}">
              <c16:uniqueId val="{00000002-F8F8-BD48-9554-D49097537A6A}"/>
            </c:ext>
          </c:extLst>
        </c:ser>
        <c:ser>
          <c:idx val="3"/>
          <c:order val="3"/>
          <c:tx>
            <c:strRef>
              <c:f>[1]ppb!$Y$62</c:f>
              <c:strCache>
                <c:ptCount val="1"/>
                <c:pt idx="0">
                  <c:v>DR3-1</c:v>
                </c:pt>
              </c:strCache>
            </c:strRef>
          </c:tx>
          <c:spPr>
            <a:ln w="3175" cmpd="sng">
              <a:solidFill>
                <a:srgbClr val="4F81BD"/>
              </a:solidFill>
            </a:ln>
          </c:spPr>
          <c:marker>
            <c:spPr>
              <a:ln w="3175" cmpd="sng">
                <a:solidFill>
                  <a:srgbClr val="4F81BD"/>
                </a:solidFill>
              </a:ln>
            </c:spPr>
          </c:marker>
          <c:cat>
            <c:strRef>
              <c:f>[1]ppb!$A$63:$A$77</c:f>
              <c:strCache>
                <c:ptCount val="15"/>
                <c:pt idx="0">
                  <c:v>La</c:v>
                </c:pt>
                <c:pt idx="1">
                  <c:v>Ce</c:v>
                </c:pt>
                <c:pt idx="2">
                  <c:v>Pr</c:v>
                </c:pt>
                <c:pt idx="3">
                  <c:v>Nd</c:v>
                </c:pt>
                <c:pt idx="4">
                  <c:v>Pm</c:v>
                </c:pt>
                <c:pt idx="5">
                  <c:v>Sm</c:v>
                </c:pt>
                <c:pt idx="6">
                  <c:v>Eu</c:v>
                </c:pt>
                <c:pt idx="7">
                  <c:v>Gd</c:v>
                </c:pt>
                <c:pt idx="8">
                  <c:v>Tb</c:v>
                </c:pt>
                <c:pt idx="9">
                  <c:v>Dy</c:v>
                </c:pt>
                <c:pt idx="10">
                  <c:v>Ho</c:v>
                </c:pt>
                <c:pt idx="11">
                  <c:v>Er</c:v>
                </c:pt>
                <c:pt idx="12">
                  <c:v>Tm</c:v>
                </c:pt>
                <c:pt idx="13">
                  <c:v>Yb</c:v>
                </c:pt>
                <c:pt idx="14">
                  <c:v>Lu</c:v>
                </c:pt>
              </c:strCache>
            </c:strRef>
          </c:cat>
          <c:val>
            <c:numRef>
              <c:f>[1]ppb!$Y$63:$Y$77</c:f>
              <c:numCache>
                <c:formatCode>General</c:formatCode>
                <c:ptCount val="15"/>
                <c:pt idx="0">
                  <c:v>135.77927136198565</c:v>
                </c:pt>
                <c:pt idx="1">
                  <c:v>98.200399240431253</c:v>
                </c:pt>
                <c:pt idx="2">
                  <c:v>68.625810920820868</c:v>
                </c:pt>
                <c:pt idx="3">
                  <c:v>49.065926819633361</c:v>
                </c:pt>
                <c:pt idx="4">
                  <c:v>36.986557745122902</c:v>
                </c:pt>
                <c:pt idx="5">
                  <c:v>27.880966334582958</c:v>
                </c:pt>
                <c:pt idx="6">
                  <c:v>35.486852027634484</c:v>
                </c:pt>
                <c:pt idx="7">
                  <c:v>18.280637115855509</c:v>
                </c:pt>
                <c:pt idx="8">
                  <c:v>15.67715709241795</c:v>
                </c:pt>
                <c:pt idx="9">
                  <c:v>13.0618230028412</c:v>
                </c:pt>
                <c:pt idx="10">
                  <c:v>11.305936904759397</c:v>
                </c:pt>
                <c:pt idx="11">
                  <c:v>9.9971463937244849</c:v>
                </c:pt>
                <c:pt idx="12">
                  <c:v>9.4432762900318359</c:v>
                </c:pt>
                <c:pt idx="13">
                  <c:v>9.4669608110204067</c:v>
                </c:pt>
                <c:pt idx="14">
                  <c:v>9.6470993222060759</c:v>
                </c:pt>
              </c:numCache>
            </c:numRef>
          </c:val>
          <c:smooth val="0"/>
          <c:extLst>
            <c:ext xmlns:c16="http://schemas.microsoft.com/office/drawing/2014/chart" uri="{C3380CC4-5D6E-409C-BE32-E72D297353CC}">
              <c16:uniqueId val="{00000003-F8F8-BD48-9554-D49097537A6A}"/>
            </c:ext>
          </c:extLst>
        </c:ser>
        <c:ser>
          <c:idx val="4"/>
          <c:order val="4"/>
          <c:tx>
            <c:strRef>
              <c:f>[1]ppb!$Z$62</c:f>
              <c:strCache>
                <c:ptCount val="1"/>
                <c:pt idx="0">
                  <c:v>DR3-2</c:v>
                </c:pt>
              </c:strCache>
            </c:strRef>
          </c:tx>
          <c:spPr>
            <a:ln w="3175" cmpd="sng"/>
          </c:spPr>
          <c:marker>
            <c:spPr>
              <a:ln w="3175" cmpd="sng"/>
            </c:spPr>
          </c:marker>
          <c:cat>
            <c:strRef>
              <c:f>[1]ppb!$A$63:$A$77</c:f>
              <c:strCache>
                <c:ptCount val="15"/>
                <c:pt idx="0">
                  <c:v>La</c:v>
                </c:pt>
                <c:pt idx="1">
                  <c:v>Ce</c:v>
                </c:pt>
                <c:pt idx="2">
                  <c:v>Pr</c:v>
                </c:pt>
                <c:pt idx="3">
                  <c:v>Nd</c:v>
                </c:pt>
                <c:pt idx="4">
                  <c:v>Pm</c:v>
                </c:pt>
                <c:pt idx="5">
                  <c:v>Sm</c:v>
                </c:pt>
                <c:pt idx="6">
                  <c:v>Eu</c:v>
                </c:pt>
                <c:pt idx="7">
                  <c:v>Gd</c:v>
                </c:pt>
                <c:pt idx="8">
                  <c:v>Tb</c:v>
                </c:pt>
                <c:pt idx="9">
                  <c:v>Dy</c:v>
                </c:pt>
                <c:pt idx="10">
                  <c:v>Ho</c:v>
                </c:pt>
                <c:pt idx="11">
                  <c:v>Er</c:v>
                </c:pt>
                <c:pt idx="12">
                  <c:v>Tm</c:v>
                </c:pt>
                <c:pt idx="13">
                  <c:v>Yb</c:v>
                </c:pt>
                <c:pt idx="14">
                  <c:v>Lu</c:v>
                </c:pt>
              </c:strCache>
            </c:strRef>
          </c:cat>
          <c:val>
            <c:numRef>
              <c:f>[1]ppb!$Z$63:$Z$77</c:f>
              <c:numCache>
                <c:formatCode>General</c:formatCode>
                <c:ptCount val="15"/>
                <c:pt idx="0">
                  <c:v>269.15080034781346</c:v>
                </c:pt>
                <c:pt idx="1">
                  <c:v>210.77317095839092</c:v>
                </c:pt>
                <c:pt idx="2">
                  <c:v>148.4211287477325</c:v>
                </c:pt>
                <c:pt idx="3">
                  <c:v>102.39284561942132</c:v>
                </c:pt>
                <c:pt idx="4">
                  <c:v>73.056613836311158</c:v>
                </c:pt>
                <c:pt idx="5">
                  <c:v>52.125407717114378</c:v>
                </c:pt>
                <c:pt idx="6">
                  <c:v>21.346422027985692</c:v>
                </c:pt>
                <c:pt idx="7">
                  <c:v>26.428323326585868</c:v>
                </c:pt>
                <c:pt idx="8">
                  <c:v>17.60582536143475</c:v>
                </c:pt>
                <c:pt idx="9">
                  <c:v>11.567085811587638</c:v>
                </c:pt>
                <c:pt idx="10">
                  <c:v>8.209244157402642</c:v>
                </c:pt>
                <c:pt idx="11">
                  <c:v>6.095932111610141</c:v>
                </c:pt>
                <c:pt idx="12">
                  <c:v>4.7419749432394802</c:v>
                </c:pt>
                <c:pt idx="13">
                  <c:v>4.1054711386897429</c:v>
                </c:pt>
                <c:pt idx="14">
                  <c:v>4.0477002616573694</c:v>
                </c:pt>
              </c:numCache>
            </c:numRef>
          </c:val>
          <c:smooth val="0"/>
          <c:extLst>
            <c:ext xmlns:c16="http://schemas.microsoft.com/office/drawing/2014/chart" uri="{C3380CC4-5D6E-409C-BE32-E72D297353CC}">
              <c16:uniqueId val="{00000004-F8F8-BD48-9554-D49097537A6A}"/>
            </c:ext>
          </c:extLst>
        </c:ser>
        <c:ser>
          <c:idx val="5"/>
          <c:order val="5"/>
          <c:tx>
            <c:strRef>
              <c:f>[1]ppb!$AA$62</c:f>
              <c:strCache>
                <c:ptCount val="1"/>
                <c:pt idx="0">
                  <c:v>DR3-6</c:v>
                </c:pt>
              </c:strCache>
            </c:strRef>
          </c:tx>
          <c:spPr>
            <a:ln w="3175" cmpd="sng"/>
          </c:spPr>
          <c:marker>
            <c:spPr>
              <a:ln w="3175" cmpd="sng"/>
            </c:spPr>
          </c:marker>
          <c:cat>
            <c:strRef>
              <c:f>[1]ppb!$A$63:$A$77</c:f>
              <c:strCache>
                <c:ptCount val="15"/>
                <c:pt idx="0">
                  <c:v>La</c:v>
                </c:pt>
                <c:pt idx="1">
                  <c:v>Ce</c:v>
                </c:pt>
                <c:pt idx="2">
                  <c:v>Pr</c:v>
                </c:pt>
                <c:pt idx="3">
                  <c:v>Nd</c:v>
                </c:pt>
                <c:pt idx="4">
                  <c:v>Pm</c:v>
                </c:pt>
                <c:pt idx="5">
                  <c:v>Sm</c:v>
                </c:pt>
                <c:pt idx="6">
                  <c:v>Eu</c:v>
                </c:pt>
                <c:pt idx="7">
                  <c:v>Gd</c:v>
                </c:pt>
                <c:pt idx="8">
                  <c:v>Tb</c:v>
                </c:pt>
                <c:pt idx="9">
                  <c:v>Dy</c:v>
                </c:pt>
                <c:pt idx="10">
                  <c:v>Ho</c:v>
                </c:pt>
                <c:pt idx="11">
                  <c:v>Er</c:v>
                </c:pt>
                <c:pt idx="12">
                  <c:v>Tm</c:v>
                </c:pt>
                <c:pt idx="13">
                  <c:v>Yb</c:v>
                </c:pt>
                <c:pt idx="14">
                  <c:v>Lu</c:v>
                </c:pt>
              </c:strCache>
            </c:strRef>
          </c:cat>
          <c:val>
            <c:numRef>
              <c:f>[1]ppb!$AA$63:$AA$77</c:f>
              <c:numCache>
                <c:formatCode>General</c:formatCode>
                <c:ptCount val="15"/>
                <c:pt idx="0">
                  <c:v>676.28651361972788</c:v>
                </c:pt>
                <c:pt idx="1">
                  <c:v>572.199478331671</c:v>
                </c:pt>
                <c:pt idx="2">
                  <c:v>430.13488140357344</c:v>
                </c:pt>
                <c:pt idx="3">
                  <c:v>319.36358510348464</c:v>
                </c:pt>
                <c:pt idx="4">
                  <c:v>234.98553555103172</c:v>
                </c:pt>
                <c:pt idx="5">
                  <c:v>172.9007454006148</c:v>
                </c:pt>
                <c:pt idx="6">
                  <c:v>46.073565568327609</c:v>
                </c:pt>
                <c:pt idx="7">
                  <c:v>99.117394559080665</c:v>
                </c:pt>
                <c:pt idx="8">
                  <c:v>75.306658757673887</c:v>
                </c:pt>
                <c:pt idx="9">
                  <c:v>57.019853922804799</c:v>
                </c:pt>
                <c:pt idx="10">
                  <c:v>45.937968356077981</c:v>
                </c:pt>
                <c:pt idx="11">
                  <c:v>37.031811779066459</c:v>
                </c:pt>
                <c:pt idx="12">
                  <c:v>29.935399871898309</c:v>
                </c:pt>
                <c:pt idx="13">
                  <c:v>25.045114897973207</c:v>
                </c:pt>
                <c:pt idx="14">
                  <c:v>22.327472796277981</c:v>
                </c:pt>
              </c:numCache>
            </c:numRef>
          </c:val>
          <c:smooth val="0"/>
          <c:extLst>
            <c:ext xmlns:c16="http://schemas.microsoft.com/office/drawing/2014/chart" uri="{C3380CC4-5D6E-409C-BE32-E72D297353CC}">
              <c16:uniqueId val="{00000005-F8F8-BD48-9554-D49097537A6A}"/>
            </c:ext>
          </c:extLst>
        </c:ser>
        <c:dLbls>
          <c:showLegendKey val="0"/>
          <c:showVal val="0"/>
          <c:showCatName val="0"/>
          <c:showSerName val="0"/>
          <c:showPercent val="0"/>
          <c:showBubbleSize val="0"/>
        </c:dLbls>
        <c:marker val="1"/>
        <c:smooth val="0"/>
        <c:axId val="-2026503352"/>
        <c:axId val="-2026500728"/>
      </c:lineChart>
      <c:catAx>
        <c:axId val="-2026503352"/>
        <c:scaling>
          <c:orientation val="minMax"/>
        </c:scaling>
        <c:delete val="0"/>
        <c:axPos val="b"/>
        <c:numFmt formatCode="General" sourceLinked="0"/>
        <c:majorTickMark val="out"/>
        <c:minorTickMark val="none"/>
        <c:tickLblPos val="nextTo"/>
        <c:crossAx val="-2026500728"/>
        <c:crosses val="autoZero"/>
        <c:auto val="1"/>
        <c:lblAlgn val="ctr"/>
        <c:lblOffset val="100"/>
        <c:noMultiLvlLbl val="0"/>
      </c:catAx>
      <c:valAx>
        <c:axId val="-2026500728"/>
        <c:scaling>
          <c:logBase val="10"/>
          <c:orientation val="minMax"/>
        </c:scaling>
        <c:delete val="0"/>
        <c:axPos val="l"/>
        <c:majorGridlines/>
        <c:numFmt formatCode="General" sourceLinked="1"/>
        <c:majorTickMark val="out"/>
        <c:minorTickMark val="in"/>
        <c:tickLblPos val="nextTo"/>
        <c:crossAx val="-2026503352"/>
        <c:crosses val="autoZero"/>
        <c:crossBetween val="between"/>
      </c:valAx>
      <c:spPr>
        <a:ln w="6350" cmpd="sng"/>
      </c:spPr>
    </c:plotArea>
    <c:legend>
      <c:legendPos val="r"/>
      <c:overlay val="0"/>
    </c:legend>
    <c:plotVisOnly val="1"/>
    <c:dispBlanksAs val="gap"/>
    <c:showDLblsOverMax val="0"/>
  </c:chart>
  <c:spPr>
    <a:ln w="3175" cmpd="sng"/>
  </c:spPr>
  <c:printSettings>
    <c:headerFooter/>
    <c:pageMargins b="1" l="0.75" r="0.75" t="1" header="0.5" footer="0.5"/>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14</xdr:col>
      <xdr:colOff>522941</xdr:colOff>
      <xdr:row>60</xdr:row>
      <xdr:rowOff>104588</xdr:rowOff>
    </xdr:from>
    <xdr:to>
      <xdr:col>20</xdr:col>
      <xdr:colOff>89647</xdr:colOff>
      <xdr:row>73</xdr:row>
      <xdr:rowOff>74705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3551647" y="10608235"/>
          <a:ext cx="3600824" cy="24652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0000FF"/>
              </a:solidFill>
            </a:rPr>
            <a:t>these are the 6 samples sent by Luke (March 2015): the powders used to produce the data below were made at UNE and are not available; we produced new powders in an agate mill and will do traces etc on those</a:t>
          </a:r>
          <a:r>
            <a:rPr lang="en-US"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806450</xdr:colOff>
      <xdr:row>59</xdr:row>
      <xdr:rowOff>57150</xdr:rowOff>
    </xdr:from>
    <xdr:to>
      <xdr:col>13</xdr:col>
      <xdr:colOff>425450</xdr:colOff>
      <xdr:row>76</xdr:row>
      <xdr:rowOff>158750</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806450</xdr:colOff>
      <xdr:row>78</xdr:row>
      <xdr:rowOff>19050</xdr:rowOff>
    </xdr:from>
    <xdr:to>
      <xdr:col>13</xdr:col>
      <xdr:colOff>425450</xdr:colOff>
      <xdr:row>94</xdr:row>
      <xdr:rowOff>120650</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368300</xdr:colOff>
      <xdr:row>83</xdr:row>
      <xdr:rowOff>0</xdr:rowOff>
    </xdr:from>
    <xdr:to>
      <xdr:col>14</xdr:col>
      <xdr:colOff>12700</xdr:colOff>
      <xdr:row>86</xdr:row>
      <xdr:rowOff>139700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9550400" y="13601700"/>
          <a:ext cx="2120900" cy="63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three DR1 data points define a line with apparent age of 540 Ma (87Sr/86Sri 0.7399)</a:t>
          </a:r>
          <a:endParaRPr lang="en-US" sz="1100"/>
        </a:p>
      </xdr:txBody>
    </xdr:sp>
    <xdr:clientData/>
  </xdr:twoCellAnchor>
  <xdr:twoCellAnchor>
    <xdr:from>
      <xdr:col>13</xdr:col>
      <xdr:colOff>634999</xdr:colOff>
      <xdr:row>59</xdr:row>
      <xdr:rowOff>59265</xdr:rowOff>
    </xdr:from>
    <xdr:to>
      <xdr:col>19</xdr:col>
      <xdr:colOff>228599</xdr:colOff>
      <xdr:row>76</xdr:row>
      <xdr:rowOff>93132</xdr:rowOff>
    </xdr:to>
    <xdr:graphicFrame macro="">
      <xdr:nvGraphicFramePr>
        <xdr:cNvPr id="7" name="Chart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317500</xdr:colOff>
      <xdr:row>67</xdr:row>
      <xdr:rowOff>139700</xdr:rowOff>
    </xdr:from>
    <xdr:to>
      <xdr:col>18</xdr:col>
      <xdr:colOff>63500</xdr:colOff>
      <xdr:row>72</xdr:row>
      <xdr:rowOff>114300</xdr:rowOff>
    </xdr:to>
    <xdr:cxnSp macro="">
      <xdr:nvCxnSpPr>
        <xdr:cNvPr id="9" name="Straight Connector 8">
          <a:extLst>
            <a:ext uri="{FF2B5EF4-FFF2-40B4-BE49-F238E27FC236}">
              <a16:creationId xmlns:a16="http://schemas.microsoft.com/office/drawing/2014/main" id="{00000000-0008-0000-0100-000009000000}"/>
            </a:ext>
          </a:extLst>
        </xdr:cNvPr>
        <xdr:cNvCxnSpPr/>
      </xdr:nvCxnSpPr>
      <xdr:spPr>
        <a:xfrm flipH="1">
          <a:off x="13627100" y="11264900"/>
          <a:ext cx="1397000" cy="63500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88900</xdr:colOff>
      <xdr:row>61</xdr:row>
      <xdr:rowOff>76200</xdr:rowOff>
    </xdr:from>
    <xdr:to>
      <xdr:col>20</xdr:col>
      <xdr:colOff>88900</xdr:colOff>
      <xdr:row>63</xdr:row>
      <xdr:rowOff>88900</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15049500" y="10210800"/>
          <a:ext cx="16510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DR1 SmNd array 750 Ma</a:t>
          </a:r>
        </a:p>
      </xdr:txBody>
    </xdr:sp>
    <xdr:clientData/>
  </xdr:twoCellAnchor>
  <xdr:twoCellAnchor>
    <xdr:from>
      <xdr:col>14</xdr:col>
      <xdr:colOff>400050</xdr:colOff>
      <xdr:row>78</xdr:row>
      <xdr:rowOff>57150</xdr:rowOff>
    </xdr:from>
    <xdr:to>
      <xdr:col>20</xdr:col>
      <xdr:colOff>19050</xdr:colOff>
      <xdr:row>94</xdr:row>
      <xdr:rowOff>158750</xdr:rowOff>
    </xdr:to>
    <xdr:graphicFrame macro="">
      <xdr:nvGraphicFramePr>
        <xdr:cNvPr id="11" name="Chart 10">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533400</xdr:colOff>
      <xdr:row>134</xdr:row>
      <xdr:rowOff>63500</xdr:rowOff>
    </xdr:from>
    <xdr:to>
      <xdr:col>11</xdr:col>
      <xdr:colOff>571500</xdr:colOff>
      <xdr:row>160</xdr:row>
      <xdr:rowOff>88900</xdr:rowOff>
    </xdr:to>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533400" y="22377400"/>
          <a:ext cx="9220200" cy="4318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Comments on Batavia</a:t>
          </a:r>
          <a:r>
            <a:rPr lang="en-US" sz="1400" b="1" baseline="0"/>
            <a:t> Knoll and Gulden Draak Knoll </a:t>
          </a:r>
          <a:r>
            <a:rPr lang="en-US" sz="1400" b="1"/>
            <a:t>granite</a:t>
          </a:r>
          <a:r>
            <a:rPr lang="en-US" sz="1400" b="1" baseline="0"/>
            <a:t> data, May 201</a:t>
          </a:r>
        </a:p>
        <a:p>
          <a:endParaRPr lang="en-US" sz="1100" baseline="0"/>
        </a:p>
        <a:p>
          <a:r>
            <a:rPr lang="en-US" sz="1100" baseline="0"/>
            <a:t>all 6 samples are granite to leucogranite (aplite ?) with broadly coherent variations of Ti, Mg, Fe and Ca relative to SiO2. P drops strongly with increasing SiO2, a characteristic seen in modern I-type granite suites in SE Australia (P increases in S-type suites). ASI values (P-corrected ACNK) are just under 1.1 (DR1-4, 1-5 are just &gt;1.1).</a:t>
          </a:r>
        </a:p>
        <a:p>
          <a:r>
            <a:rPr lang="en-US" sz="1100" baseline="0"/>
            <a:t>REE patterns are heterogeneous, with variable La/Lu and degrees of HREE fractionation; Eu/Eu* varies from negative to positive. Th/U tends to be very high.</a:t>
          </a:r>
        </a:p>
        <a:p>
          <a:endParaRPr lang="en-US" sz="1100" baseline="0"/>
        </a:p>
        <a:p>
          <a:r>
            <a:rPr lang="en-US" sz="1100" baseline="0"/>
            <a:t>Isotopic compositions (Sr, Nd, Hf) show these rocks are either very old or are remelts of old (Proterozoic-Late Archean) protoliths. Measured eNd and eHf are all strongly negative, and Sr is very radiogenic. The U-Th-Pb systems are characterised by low U/Pb (238/204 is 0.98-5.7, compare ~9-12 crustal average) and highly varoiable Th/Pb (232/204 is 15-122, compare ~40 crustal average). Measured Pb isotope ratios vary considerably, with 206/204 as low as 16.7 in DR3-1.</a:t>
          </a:r>
        </a:p>
        <a:p>
          <a:endParaRPr lang="en-US" sz="1100" baseline="0"/>
        </a:p>
        <a:p>
          <a:r>
            <a:rPr lang="en-US" sz="1100" baseline="0"/>
            <a:t>In detail, samples from DR1 show some isotopic homogeneity. They define rough isochrons (540 RbSr, 750 Ma SmNd, 450 Ma Th-Pb ; all would have large errors), and eNd, eHf and Pb isotopes are all quite similar in this group. TDM (2.32-2.74 Ga) model ages are also quite homogeneous. The DR3 samples are more heterogeneous, with few obvious correlations (e.g. Th-Pb 1.17 Ga array) . DR3-2 and 3-6 have much higher (less negative) eNd and eHf than DR3-1 and are therefore much younger than DR3-1 or have a very different protolith.</a:t>
          </a:r>
        </a:p>
        <a:p>
          <a:endParaRPr lang="en-US" sz="1100" baseline="0"/>
        </a:p>
        <a:p>
          <a:r>
            <a:rPr lang="en-US" sz="1100" baseline="0"/>
            <a:t>Age corrections can be done by entering an age in cells b92-g92, in Ga. I put in 0.53 Ga. This is what needs to be done for comparison with Cambrian grnaites elsewhere. For comparison with basaltic rocks from the Kerguelen LIP, we would put in 0.1 Ga or so. The largest changes are always in 87/86Sr and 208/204, while eNd and eHf are not so sensitive to age</a:t>
          </a:r>
        </a:p>
        <a:p>
          <a:endParaRPr lang="en-US" sz="1100" baseline="0"/>
        </a:p>
        <a:p>
          <a:r>
            <a:rPr lang="en-US" sz="1100" baseline="0"/>
            <a:t>Comparison with Cambrian granite-gneisses from the southern Naturaliste Plateau shows the latter to be more homogeneous (TDM 2.07-2.44), i.e. strongly negative eNd and eHf, unevolved uranogneic Pb and strong ingrowth of thorogenic Pb</a:t>
          </a:r>
        </a:p>
        <a:p>
          <a:endParaRPr lang="en-US" sz="1100" baseline="0"/>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absoluteAnchor>
    <xdr:pos x="825500" y="825500"/>
    <xdr:ext cx="9212540" cy="5614206"/>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asr/Library/Caches/TemporaryItems/Outlook%20Temp/RM-gneiss-granite-15apr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b"/>
      <sheetName val="ree-stds"/>
      <sheetName val="ree-a"/>
      <sheetName val="ree-b"/>
      <sheetName val="ree-c"/>
      <sheetName val="ree-DR"/>
    </sheetNames>
    <sheetDataSet>
      <sheetData sheetId="0">
        <row r="62">
          <cell r="V62" t="str">
            <v>DR1-3</v>
          </cell>
          <cell r="W62" t="str">
            <v>DR1-4</v>
          </cell>
          <cell r="X62" t="str">
            <v>DR1-5</v>
          </cell>
          <cell r="Y62" t="str">
            <v>DR3-1</v>
          </cell>
          <cell r="Z62" t="str">
            <v>DR3-2</v>
          </cell>
          <cell r="AA62" t="str">
            <v>DR3-6</v>
          </cell>
        </row>
        <row r="63">
          <cell r="A63" t="str">
            <v>La</v>
          </cell>
          <cell r="V63">
            <v>191.26691032331843</v>
          </cell>
          <cell r="W63">
            <v>250.81934622730262</v>
          </cell>
          <cell r="X63">
            <v>171.45949403939059</v>
          </cell>
          <cell r="Y63">
            <v>135.77927136198565</v>
          </cell>
          <cell r="Z63">
            <v>269.15080034781346</v>
          </cell>
          <cell r="AA63">
            <v>676.28651361972788</v>
          </cell>
        </row>
        <row r="64">
          <cell r="A64" t="str">
            <v>Ce</v>
          </cell>
          <cell r="V64">
            <v>147.35930006962658</v>
          </cell>
          <cell r="W64">
            <v>197.2291760609568</v>
          </cell>
          <cell r="X64">
            <v>123.45305576201937</v>
          </cell>
          <cell r="Y64">
            <v>98.200399240431253</v>
          </cell>
          <cell r="Z64">
            <v>210.77317095839092</v>
          </cell>
          <cell r="AA64">
            <v>572.199478331671</v>
          </cell>
        </row>
        <row r="65">
          <cell r="A65" t="str">
            <v>Pr</v>
          </cell>
          <cell r="V65">
            <v>103.34241131949202</v>
          </cell>
          <cell r="W65">
            <v>140.01350562002457</v>
          </cell>
          <cell r="X65">
            <v>79.625638483643172</v>
          </cell>
          <cell r="Y65">
            <v>68.625810920820868</v>
          </cell>
          <cell r="Z65">
            <v>148.4211287477325</v>
          </cell>
          <cell r="AA65">
            <v>430.13488140357344</v>
          </cell>
        </row>
        <row r="66">
          <cell r="A66" t="str">
            <v>Nd</v>
          </cell>
          <cell r="V66">
            <v>67.831886259466074</v>
          </cell>
          <cell r="W66">
            <v>95.212157362846696</v>
          </cell>
          <cell r="X66">
            <v>52.468949347126426</v>
          </cell>
          <cell r="Y66">
            <v>49.065926819633361</v>
          </cell>
          <cell r="Z66">
            <v>102.39284561942132</v>
          </cell>
          <cell r="AA66">
            <v>319.36358510348464</v>
          </cell>
        </row>
        <row r="67">
          <cell r="A67" t="str">
            <v>Pm</v>
          </cell>
          <cell r="V67">
            <v>52.042307479965324</v>
          </cell>
          <cell r="W67">
            <v>68.441514438629085</v>
          </cell>
          <cell r="X67">
            <v>35.539841053457742</v>
          </cell>
          <cell r="Y67">
            <v>36.986557745122902</v>
          </cell>
          <cell r="Z67">
            <v>73.056613836311158</v>
          </cell>
          <cell r="AA67">
            <v>234.98553555103172</v>
          </cell>
        </row>
        <row r="68">
          <cell r="A68" t="str">
            <v>Sm</v>
          </cell>
          <cell r="V68">
            <v>39.928150567407933</v>
          </cell>
          <cell r="W68">
            <v>49.197928378009131</v>
          </cell>
          <cell r="X68">
            <v>24.072910127258258</v>
          </cell>
          <cell r="Y68">
            <v>27.880966334582958</v>
          </cell>
          <cell r="Z68">
            <v>52.125407717114378</v>
          </cell>
          <cell r="AA68">
            <v>172.9007454006148</v>
          </cell>
        </row>
        <row r="69">
          <cell r="A69" t="str">
            <v>Eu</v>
          </cell>
          <cell r="V69">
            <v>36.535419616346807</v>
          </cell>
          <cell r="W69">
            <v>11.493986863675381</v>
          </cell>
          <cell r="X69">
            <v>22.252439142423647</v>
          </cell>
          <cell r="Y69">
            <v>35.486852027634484</v>
          </cell>
          <cell r="Z69">
            <v>21.346422027985692</v>
          </cell>
          <cell r="AA69">
            <v>46.073565568327609</v>
          </cell>
        </row>
        <row r="70">
          <cell r="A70" t="str">
            <v>Gd</v>
          </cell>
          <cell r="V70">
            <v>20.186157253687345</v>
          </cell>
          <cell r="W70">
            <v>25.97241301211432</v>
          </cell>
          <cell r="X70">
            <v>11.320574396558291</v>
          </cell>
          <cell r="Y70">
            <v>18.280637115855509</v>
          </cell>
          <cell r="Z70">
            <v>26.428323326585868</v>
          </cell>
          <cell r="AA70">
            <v>99.117394559080665</v>
          </cell>
        </row>
        <row r="71">
          <cell r="A71" t="str">
            <v>Tb</v>
          </cell>
          <cell r="V71">
            <v>14.840570161996109</v>
          </cell>
          <cell r="W71">
            <v>18.864866454699566</v>
          </cell>
          <cell r="X71">
            <v>7.7263148877651879</v>
          </cell>
          <cell r="Y71">
            <v>15.67715709241795</v>
          </cell>
          <cell r="Z71">
            <v>17.60582536143475</v>
          </cell>
          <cell r="AA71">
            <v>75.306658757673887</v>
          </cell>
        </row>
        <row r="72">
          <cell r="A72" t="str">
            <v>Dy</v>
          </cell>
          <cell r="V72">
            <v>9.7901992325554055</v>
          </cell>
          <cell r="W72">
            <v>12.950464664700455</v>
          </cell>
          <cell r="X72">
            <v>5.5025634183172576</v>
          </cell>
          <cell r="Y72">
            <v>13.0618230028412</v>
          </cell>
          <cell r="Z72">
            <v>11.567085811587638</v>
          </cell>
          <cell r="AA72">
            <v>57.019853922804799</v>
          </cell>
        </row>
        <row r="73">
          <cell r="A73" t="str">
            <v>Ho</v>
          </cell>
          <cell r="V73">
            <v>7.0313494213032595</v>
          </cell>
          <cell r="W73">
            <v>9.341877505451885</v>
          </cell>
          <cell r="X73">
            <v>4.6881612965807813</v>
          </cell>
          <cell r="Y73">
            <v>11.305936904759397</v>
          </cell>
          <cell r="Z73">
            <v>8.209244157402642</v>
          </cell>
          <cell r="AA73">
            <v>45.937968356077981</v>
          </cell>
        </row>
        <row r="74">
          <cell r="A74" t="str">
            <v>Er</v>
          </cell>
          <cell r="V74">
            <v>5.7475855503989779</v>
          </cell>
          <cell r="W74">
            <v>7.1622848114647821</v>
          </cell>
          <cell r="X74">
            <v>4.941170377745558</v>
          </cell>
          <cell r="Y74">
            <v>9.9971463937244849</v>
          </cell>
          <cell r="Z74">
            <v>6.095932111610141</v>
          </cell>
          <cell r="AA74">
            <v>37.031811779066459</v>
          </cell>
        </row>
        <row r="75">
          <cell r="A75" t="str">
            <v>Tm</v>
          </cell>
          <cell r="V75">
            <v>5.1900742366042776</v>
          </cell>
          <cell r="W75">
            <v>5.8495007047909287</v>
          </cell>
          <cell r="X75">
            <v>5.7504558289646726</v>
          </cell>
          <cell r="Y75">
            <v>9.4432762900318359</v>
          </cell>
          <cell r="Z75">
            <v>4.7419749432394802</v>
          </cell>
          <cell r="AA75">
            <v>29.935399871898309</v>
          </cell>
        </row>
        <row r="76">
          <cell r="A76" t="str">
            <v>Yb</v>
          </cell>
          <cell r="V76">
            <v>4.7508742512523723</v>
          </cell>
          <cell r="W76">
            <v>5.0606404154987414</v>
          </cell>
          <cell r="X76">
            <v>6.6934734827206777</v>
          </cell>
          <cell r="Y76">
            <v>9.4669608110204067</v>
          </cell>
          <cell r="Z76">
            <v>4.1054711386897429</v>
          </cell>
          <cell r="AA76">
            <v>25.045114897973207</v>
          </cell>
        </row>
        <row r="77">
          <cell r="A77" t="str">
            <v>Lu</v>
          </cell>
          <cell r="V77">
            <v>4.2421810178707426</v>
          </cell>
          <cell r="W77">
            <v>4.3622584453167024</v>
          </cell>
          <cell r="X77">
            <v>7.5807544841068237</v>
          </cell>
          <cell r="Y77">
            <v>9.6470993222060759</v>
          </cell>
          <cell r="Z77">
            <v>4.0477002616573694</v>
          </cell>
          <cell r="AA77">
            <v>22.327472796277981</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131"/>
  <sheetViews>
    <sheetView zoomScale="50" zoomScaleNormal="50" zoomScalePageLayoutView="85" workbookViewId="0">
      <selection activeCell="Q32" sqref="Q32"/>
    </sheetView>
  </sheetViews>
  <sheetFormatPr defaultColWidth="8.85546875" defaultRowHeight="15" x14ac:dyDescent="0.25"/>
  <cols>
    <col min="1" max="1" width="17.42578125" style="3" customWidth="1"/>
    <col min="2" max="2" width="17.7109375" style="3" customWidth="1"/>
    <col min="3" max="3" width="8.85546875" style="3"/>
    <col min="4" max="4" width="36.140625" style="3" customWidth="1"/>
    <col min="5" max="5" width="11" style="3" customWidth="1"/>
    <col min="6" max="10" width="9" style="3" bestFit="1" customWidth="1"/>
    <col min="11" max="11" width="8" style="3" customWidth="1"/>
    <col min="12" max="13" width="9" style="3" bestFit="1" customWidth="1"/>
    <col min="14" max="14" width="10.28515625" style="3" bestFit="1" customWidth="1"/>
    <col min="15" max="23" width="9" style="3" bestFit="1" customWidth="1"/>
    <col min="24" max="25" width="9.140625" style="3" bestFit="1" customWidth="1"/>
    <col min="26" max="26" width="10.140625" style="3" bestFit="1" customWidth="1"/>
    <col min="27" max="29" width="9.140625" style="3" bestFit="1" customWidth="1"/>
    <col min="30" max="30" width="8.85546875" style="3"/>
    <col min="31" max="31" width="9.140625" style="3" bestFit="1" customWidth="1"/>
    <col min="32" max="32" width="9.28515625" style="3" bestFit="1" customWidth="1"/>
    <col min="33" max="36" width="9.140625" style="3" bestFit="1" customWidth="1"/>
    <col min="37" max="16384" width="8.85546875" style="3"/>
  </cols>
  <sheetData>
    <row r="1" spans="1:25" x14ac:dyDescent="0.25">
      <c r="A1" s="3" t="s">
        <v>65</v>
      </c>
      <c r="B1" s="3" t="s">
        <v>43</v>
      </c>
      <c r="E1" s="4">
        <v>42032</v>
      </c>
      <c r="G1" s="3" t="s">
        <v>0</v>
      </c>
    </row>
    <row r="2" spans="1:25" x14ac:dyDescent="0.25">
      <c r="A2" s="3" t="s">
        <v>1</v>
      </c>
      <c r="G2" s="3" t="s">
        <v>2</v>
      </c>
    </row>
    <row r="3" spans="1:25" x14ac:dyDescent="0.25">
      <c r="A3" s="3" t="s">
        <v>66</v>
      </c>
    </row>
    <row r="4" spans="1:25" x14ac:dyDescent="0.25">
      <c r="A4" s="3" t="s">
        <v>3</v>
      </c>
    </row>
    <row r="5" spans="1:25" ht="17.25" x14ac:dyDescent="0.3">
      <c r="C5" s="1" t="s">
        <v>4</v>
      </c>
      <c r="D5" s="1" t="s">
        <v>5</v>
      </c>
      <c r="E5" s="1" t="s">
        <v>6</v>
      </c>
      <c r="F5" s="1" t="s">
        <v>7</v>
      </c>
      <c r="G5" s="1" t="s">
        <v>8</v>
      </c>
      <c r="H5" s="1" t="s">
        <v>9</v>
      </c>
      <c r="I5" s="1" t="s">
        <v>10</v>
      </c>
      <c r="J5" s="1" t="s">
        <v>11</v>
      </c>
      <c r="K5" s="1" t="s">
        <v>12</v>
      </c>
      <c r="L5" s="1" t="s">
        <v>13</v>
      </c>
      <c r="M5" s="1" t="s">
        <v>61</v>
      </c>
      <c r="N5" s="24" t="s">
        <v>14</v>
      </c>
      <c r="O5" s="1" t="s">
        <v>17</v>
      </c>
      <c r="P5" s="1" t="s">
        <v>16</v>
      </c>
      <c r="T5" s="1"/>
      <c r="U5" s="1"/>
      <c r="V5" s="1"/>
      <c r="W5" s="1"/>
      <c r="X5" s="1"/>
      <c r="Y5" s="2"/>
    </row>
    <row r="6" spans="1:25" x14ac:dyDescent="0.25">
      <c r="A6" s="30" t="s">
        <v>56</v>
      </c>
      <c r="C6" s="20">
        <v>73.533045705760799</v>
      </c>
      <c r="D6" s="10">
        <v>0.39303663067889677</v>
      </c>
      <c r="E6" s="20">
        <v>12.5006988744453</v>
      </c>
      <c r="F6" s="10">
        <v>3.0001974919001242</v>
      </c>
      <c r="G6" s="10">
        <v>2.1615373500939169E-2</v>
      </c>
      <c r="H6" s="10">
        <v>7.2603867319971621E-2</v>
      </c>
      <c r="I6" s="10">
        <v>0.29938478531127261</v>
      </c>
      <c r="J6" s="10">
        <v>4.1410934563130901</v>
      </c>
      <c r="K6" s="10">
        <v>4.7937965530851701</v>
      </c>
      <c r="L6" s="10">
        <v>8.9347862847939372E-2</v>
      </c>
      <c r="M6" s="10"/>
      <c r="N6" s="8">
        <v>0.78313302567394638</v>
      </c>
      <c r="O6" s="5">
        <f>SUM(C6:N6)</f>
        <v>99.627953626837453</v>
      </c>
      <c r="P6" s="3" t="s">
        <v>64</v>
      </c>
      <c r="T6" s="10"/>
      <c r="Y6" s="2"/>
    </row>
    <row r="7" spans="1:25" x14ac:dyDescent="0.25">
      <c r="A7" s="9" t="s">
        <v>59</v>
      </c>
      <c r="C7" s="20">
        <v>69.820310967741094</v>
      </c>
      <c r="D7" s="10">
        <v>0.58454172368825708</v>
      </c>
      <c r="E7" s="20">
        <v>13.357212844207917</v>
      </c>
      <c r="F7" s="10">
        <v>5.8363452718982973</v>
      </c>
      <c r="G7" s="10">
        <v>5.9442277127582717E-2</v>
      </c>
      <c r="H7" s="10">
        <v>1.8101238153746351</v>
      </c>
      <c r="I7" s="10">
        <v>0.69957252863980868</v>
      </c>
      <c r="J7" s="10">
        <v>1.7531069665708587</v>
      </c>
      <c r="K7" s="10">
        <v>2.376415117934771</v>
      </c>
      <c r="L7" s="10">
        <v>4.2740209642022048E-2</v>
      </c>
      <c r="M7" s="10"/>
      <c r="N7" s="8">
        <v>3.4780630114499553</v>
      </c>
      <c r="O7" s="5">
        <f t="shared" ref="O7:O17" si="0">SUM(C7:N7)</f>
        <v>99.817874734275208</v>
      </c>
      <c r="P7" s="3" t="s">
        <v>64</v>
      </c>
      <c r="T7" s="10"/>
      <c r="Y7" s="2"/>
    </row>
    <row r="8" spans="1:25" x14ac:dyDescent="0.25">
      <c r="A8" s="9" t="s">
        <v>60</v>
      </c>
      <c r="C8" s="20">
        <v>72.355624873330896</v>
      </c>
      <c r="D8" s="10">
        <v>0.55847296757179976</v>
      </c>
      <c r="E8" s="20">
        <v>12.1837989245569</v>
      </c>
      <c r="F8" s="10">
        <v>5.2868290590242717</v>
      </c>
      <c r="G8" s="10">
        <v>4.8634590377113131E-2</v>
      </c>
      <c r="H8" s="10">
        <v>1.7574114185532856</v>
      </c>
      <c r="I8" s="10">
        <v>0.70158858780015387</v>
      </c>
      <c r="J8" s="10">
        <v>1.8204698744394501</v>
      </c>
      <c r="K8" s="10">
        <v>2.5962521367200702</v>
      </c>
      <c r="L8" s="10">
        <v>4.2145218324499703E-2</v>
      </c>
      <c r="M8" s="10"/>
      <c r="N8" s="8">
        <v>2.3269498697634847</v>
      </c>
      <c r="O8" s="5">
        <f t="shared" si="0"/>
        <v>99.678177520461944</v>
      </c>
      <c r="P8" s="3" t="s">
        <v>64</v>
      </c>
      <c r="T8" s="10"/>
      <c r="Y8" s="2"/>
    </row>
    <row r="9" spans="1:25" x14ac:dyDescent="0.25">
      <c r="A9" s="30" t="s">
        <v>57</v>
      </c>
      <c r="C9" s="20">
        <v>73.233417193668387</v>
      </c>
      <c r="D9" s="10">
        <v>0.23060822718404655</v>
      </c>
      <c r="E9" s="20">
        <v>13.584097558038744</v>
      </c>
      <c r="F9" s="10">
        <v>1.4794667269685284</v>
      </c>
      <c r="G9" s="10">
        <v>1.2969224100563502E-2</v>
      </c>
      <c r="H9" s="10">
        <v>0.46247668909296996</v>
      </c>
      <c r="I9" s="10">
        <v>1.2429004723528589</v>
      </c>
      <c r="J9" s="10">
        <v>2.5210130467121044</v>
      </c>
      <c r="K9" s="10">
        <v>5.7697241366924077</v>
      </c>
      <c r="L9" s="10">
        <v>4.7599305401787903E-2</v>
      </c>
      <c r="M9" s="10">
        <v>0.11763166965438634</v>
      </c>
      <c r="N9" s="8">
        <v>1.0170057799605916</v>
      </c>
      <c r="O9" s="5">
        <f t="shared" si="0"/>
        <v>99.71891002982737</v>
      </c>
      <c r="P9" s="3" t="s">
        <v>64</v>
      </c>
      <c r="T9" s="10"/>
      <c r="Y9" s="2"/>
    </row>
    <row r="10" spans="1:25" x14ac:dyDescent="0.25">
      <c r="A10" s="30" t="s">
        <v>58</v>
      </c>
      <c r="C10" s="20">
        <v>71.866821585139107</v>
      </c>
      <c r="D10" s="10">
        <v>0.28775896174704935</v>
      </c>
      <c r="E10" s="20">
        <v>13.7320731803466</v>
      </c>
      <c r="F10" s="10">
        <v>2.4033786013611196</v>
      </c>
      <c r="G10" s="10" t="s">
        <v>64</v>
      </c>
      <c r="H10" s="10">
        <v>0.15316432283939219</v>
      </c>
      <c r="I10" s="10">
        <v>1.0624631775019573</v>
      </c>
      <c r="J10" s="10">
        <v>2.8503965766062365</v>
      </c>
      <c r="K10" s="10">
        <v>5.8596263479635837</v>
      </c>
      <c r="L10" s="10">
        <v>8.4885427966521751E-2</v>
      </c>
      <c r="M10" s="10"/>
      <c r="N10" s="8">
        <v>1.152066972450138</v>
      </c>
      <c r="O10" s="5">
        <f t="shared" si="0"/>
        <v>99.452635153921719</v>
      </c>
      <c r="P10" s="3" t="s">
        <v>64</v>
      </c>
      <c r="T10" s="10"/>
      <c r="Y10" s="2"/>
    </row>
    <row r="11" spans="1:25" x14ac:dyDescent="0.25">
      <c r="A11" s="29" t="s">
        <v>49</v>
      </c>
      <c r="C11" s="28">
        <v>76.301445286078945</v>
      </c>
      <c r="D11" s="5">
        <v>8.0211557281407497E-2</v>
      </c>
      <c r="E11" s="20">
        <v>12.294854282232899</v>
      </c>
      <c r="F11" s="10">
        <v>0.55253553272498102</v>
      </c>
      <c r="G11" s="10" t="s">
        <v>64</v>
      </c>
      <c r="H11" s="10">
        <v>0.18996354326184356</v>
      </c>
      <c r="I11" s="10">
        <v>0.46369360687941213</v>
      </c>
      <c r="J11" s="10">
        <v>2.2171936116754272</v>
      </c>
      <c r="K11" s="10">
        <v>6.3480950292036447</v>
      </c>
      <c r="L11" s="10">
        <v>3.5104487733818579E-2</v>
      </c>
      <c r="M11" s="5">
        <v>0.1110442961537407</v>
      </c>
      <c r="N11" s="8">
        <v>1.0178577411464864</v>
      </c>
      <c r="O11" s="5">
        <f t="shared" si="0"/>
        <v>99.611998974372597</v>
      </c>
      <c r="P11" s="3" t="s">
        <v>64</v>
      </c>
      <c r="T11" s="5"/>
      <c r="Y11" s="2"/>
    </row>
    <row r="12" spans="1:25" x14ac:dyDescent="0.25">
      <c r="A12" s="9" t="s">
        <v>52</v>
      </c>
      <c r="C12" s="20">
        <v>53.427849054558003</v>
      </c>
      <c r="D12" s="10">
        <v>2.2177702248503901</v>
      </c>
      <c r="E12" s="20">
        <v>14.778541441936399</v>
      </c>
      <c r="F12" s="20">
        <v>10.4160094907669</v>
      </c>
      <c r="G12" s="10">
        <v>0.12104609160525935</v>
      </c>
      <c r="H12" s="10">
        <v>3.9374449715519</v>
      </c>
      <c r="I12" s="10">
        <v>5.8312905296952398</v>
      </c>
      <c r="J12" s="10">
        <v>2.9349547365193569</v>
      </c>
      <c r="K12" s="10">
        <v>3.0956328081041851</v>
      </c>
      <c r="L12" s="10">
        <v>0.8744389063186786</v>
      </c>
      <c r="M12" s="10">
        <v>0.2051496318772498</v>
      </c>
      <c r="N12" s="8">
        <v>1.8945359544941083</v>
      </c>
      <c r="O12" s="5">
        <f>SUM(C12:N12)</f>
        <v>99.734663842277655</v>
      </c>
      <c r="P12" s="3" t="s">
        <v>64</v>
      </c>
      <c r="T12" s="10"/>
      <c r="Y12" s="2"/>
    </row>
    <row r="13" spans="1:25" x14ac:dyDescent="0.25">
      <c r="A13" s="9" t="s">
        <v>53</v>
      </c>
      <c r="C13" s="20">
        <v>68.785129338356086</v>
      </c>
      <c r="D13" s="10">
        <v>0.50934338873693763</v>
      </c>
      <c r="E13" s="20">
        <v>11.178319997726827</v>
      </c>
      <c r="F13" s="10">
        <v>7.061182691436187</v>
      </c>
      <c r="G13" s="10">
        <v>0.15130761450657421</v>
      </c>
      <c r="H13" s="10">
        <v>3.4999042342326048</v>
      </c>
      <c r="I13" s="10">
        <v>2.2247212834410051</v>
      </c>
      <c r="J13" s="10">
        <v>1.9605694286832824</v>
      </c>
      <c r="K13" s="10">
        <v>1.9798464748830249</v>
      </c>
      <c r="L13" s="10">
        <v>0.10005770656334165</v>
      </c>
      <c r="M13" s="10"/>
      <c r="N13" s="8">
        <v>2.1096027781388358</v>
      </c>
      <c r="O13" s="5">
        <f t="shared" si="0"/>
        <v>99.559984936704709</v>
      </c>
      <c r="P13" s="3" t="s">
        <v>64</v>
      </c>
      <c r="T13" s="10"/>
      <c r="Y13" s="2"/>
    </row>
    <row r="14" spans="1:25" x14ac:dyDescent="0.25">
      <c r="A14" s="29" t="s">
        <v>50</v>
      </c>
      <c r="C14" s="20">
        <v>90.358407549718393</v>
      </c>
      <c r="D14" s="10">
        <v>9.324593533963621E-2</v>
      </c>
      <c r="E14" s="10">
        <v>4.5696780248218047</v>
      </c>
      <c r="F14" s="10">
        <v>0.66525680716067848</v>
      </c>
      <c r="G14" s="10" t="s">
        <v>64</v>
      </c>
      <c r="H14" s="10">
        <v>0.26952942525633306</v>
      </c>
      <c r="I14" s="10">
        <v>0.26611980916557565</v>
      </c>
      <c r="J14" s="10">
        <v>0.93112299346191996</v>
      </c>
      <c r="K14" s="10">
        <v>1.7500963794122399</v>
      </c>
      <c r="L14" s="10">
        <v>1.7453078647322231E-2</v>
      </c>
      <c r="M14" s="10"/>
      <c r="N14" s="8">
        <v>0.88113632488981286</v>
      </c>
      <c r="O14" s="5">
        <f t="shared" si="0"/>
        <v>99.802046327873725</v>
      </c>
      <c r="P14" s="3" t="s">
        <v>64</v>
      </c>
      <c r="T14" s="10"/>
      <c r="Y14" s="2"/>
    </row>
    <row r="15" spans="1:25" x14ac:dyDescent="0.25">
      <c r="A15" s="9" t="s">
        <v>54</v>
      </c>
      <c r="C15" s="28">
        <v>74.974621438030212</v>
      </c>
      <c r="D15" s="5">
        <v>0.60860519087267939</v>
      </c>
      <c r="E15" s="20">
        <v>10.251841578765299</v>
      </c>
      <c r="F15" s="10">
        <v>7.1350152527279</v>
      </c>
      <c r="G15" s="10">
        <v>2.9180754226267879E-2</v>
      </c>
      <c r="H15" s="10">
        <v>0.24665423418291729</v>
      </c>
      <c r="I15" s="10">
        <v>1.9364248235116319</v>
      </c>
      <c r="J15" s="10">
        <v>2.7687881199458992</v>
      </c>
      <c r="K15" s="10">
        <v>0.65129157498674684</v>
      </c>
      <c r="L15" s="10">
        <v>1.6163930792690472E-2</v>
      </c>
      <c r="M15" s="5"/>
      <c r="N15" s="8">
        <v>0.91574322223998794</v>
      </c>
      <c r="O15" s="5">
        <f t="shared" si="0"/>
        <v>99.534330120282206</v>
      </c>
      <c r="P15" s="3" t="s">
        <v>64</v>
      </c>
      <c r="T15" s="5"/>
      <c r="Y15" s="2"/>
    </row>
    <row r="16" spans="1:25" x14ac:dyDescent="0.25">
      <c r="A16" s="9" t="s">
        <v>55</v>
      </c>
      <c r="C16" s="28">
        <v>63.617340457648297</v>
      </c>
      <c r="D16" s="5">
        <v>1.4127260526187895</v>
      </c>
      <c r="E16" s="20">
        <v>13.213336764143101</v>
      </c>
      <c r="F16" s="10">
        <v>8.1390798782275429</v>
      </c>
      <c r="G16" s="10">
        <v>8.4299956653662758E-2</v>
      </c>
      <c r="H16" s="10">
        <v>2.980736854218561</v>
      </c>
      <c r="I16" s="10">
        <v>2.2831869990910185</v>
      </c>
      <c r="J16" s="10">
        <v>2.0628258081131023</v>
      </c>
      <c r="K16" s="10">
        <v>2.141670455171143</v>
      </c>
      <c r="L16" s="10">
        <v>0.20398285669057856</v>
      </c>
      <c r="M16" s="5"/>
      <c r="N16" s="8">
        <v>3.4741896252345943</v>
      </c>
      <c r="O16" s="5">
        <f t="shared" si="0"/>
        <v>99.613375707810391</v>
      </c>
      <c r="P16" s="3" t="s">
        <v>64</v>
      </c>
      <c r="T16" s="5"/>
      <c r="Y16" s="2"/>
    </row>
    <row r="17" spans="1:29" x14ac:dyDescent="0.25">
      <c r="A17" s="29" t="s">
        <v>51</v>
      </c>
      <c r="C17" s="20">
        <v>76.917842132009099</v>
      </c>
      <c r="D17" s="10">
        <v>0.46723232116419872</v>
      </c>
      <c r="E17" s="20">
        <v>10.212861385640201</v>
      </c>
      <c r="F17" s="10">
        <v>3.1330475653421965</v>
      </c>
      <c r="G17" s="21" t="s">
        <v>64</v>
      </c>
      <c r="H17" s="10">
        <v>0.81654486396844794</v>
      </c>
      <c r="I17" s="10">
        <v>1.0291982013562602</v>
      </c>
      <c r="J17" s="10">
        <v>1.9763011793647931</v>
      </c>
      <c r="K17" s="10">
        <v>3.5411916722830501</v>
      </c>
      <c r="L17" s="10">
        <v>2.6377948410157458E-2</v>
      </c>
      <c r="M17" s="10"/>
      <c r="N17" s="8">
        <v>1.6532577665238315</v>
      </c>
      <c r="O17" s="5">
        <f t="shared" si="0"/>
        <v>99.773855036062244</v>
      </c>
      <c r="P17" s="3" t="s">
        <v>64</v>
      </c>
      <c r="T17" s="10"/>
      <c r="Y17" s="2"/>
    </row>
    <row r="18" spans="1:29" x14ac:dyDescent="0.25">
      <c r="C18" s="20"/>
      <c r="D18" s="10"/>
      <c r="E18" s="20"/>
      <c r="F18" s="10"/>
      <c r="G18" s="10"/>
      <c r="H18" s="10"/>
      <c r="I18" s="10"/>
      <c r="J18" s="10"/>
      <c r="K18" s="10"/>
      <c r="L18" s="10"/>
      <c r="M18" s="5"/>
      <c r="N18" s="5"/>
      <c r="O18" s="5"/>
      <c r="P18" s="10"/>
      <c r="Q18" s="11"/>
      <c r="R18" s="21"/>
      <c r="T18" s="13"/>
      <c r="V18" s="10"/>
      <c r="W18" s="13"/>
      <c r="X18" s="13"/>
      <c r="Y18" s="2"/>
    </row>
    <row r="19" spans="1:29" x14ac:dyDescent="0.25">
      <c r="A19" s="9" t="s">
        <v>15</v>
      </c>
      <c r="C19" s="11">
        <v>0.01</v>
      </c>
      <c r="D19" s="11">
        <v>0.01</v>
      </c>
      <c r="E19" s="11">
        <v>0.01</v>
      </c>
      <c r="F19" s="11">
        <v>0.01</v>
      </c>
      <c r="G19" s="11">
        <v>0.01</v>
      </c>
      <c r="H19" s="11">
        <v>0.01</v>
      </c>
      <c r="I19" s="11">
        <v>0.01</v>
      </c>
      <c r="J19" s="11">
        <v>0.01</v>
      </c>
      <c r="K19" s="11">
        <v>0.01</v>
      </c>
      <c r="L19" s="11">
        <v>0.01</v>
      </c>
      <c r="M19" s="11">
        <v>0.01</v>
      </c>
      <c r="P19" s="11">
        <v>0.01</v>
      </c>
      <c r="Q19" s="11"/>
      <c r="R19" s="11"/>
      <c r="S19" s="11"/>
      <c r="T19" s="11"/>
    </row>
    <row r="20" spans="1:29" x14ac:dyDescent="0.25">
      <c r="A20" s="12"/>
      <c r="C20" s="10"/>
      <c r="D20" s="21"/>
      <c r="E20" s="10"/>
      <c r="F20" s="10"/>
      <c r="G20" s="21"/>
      <c r="H20" s="10"/>
      <c r="I20" s="10"/>
      <c r="J20" s="10"/>
      <c r="K20" s="10"/>
      <c r="L20" s="21"/>
      <c r="M20" s="8"/>
      <c r="N20" s="5"/>
      <c r="P20" s="21"/>
      <c r="R20" s="13"/>
      <c r="S20" s="13"/>
      <c r="T20" s="13"/>
      <c r="U20" s="13"/>
      <c r="V20" s="13"/>
      <c r="W20" s="13"/>
      <c r="X20" s="13"/>
      <c r="Y20" s="2"/>
    </row>
    <row r="22" spans="1:29" x14ac:dyDescent="0.25">
      <c r="A22" s="7"/>
      <c r="D22" s="6"/>
      <c r="L22" s="6"/>
      <c r="M22" s="5"/>
      <c r="N22" s="8"/>
    </row>
    <row r="23" spans="1:29" x14ac:dyDescent="0.25">
      <c r="A23" s="17"/>
      <c r="B23" s="14"/>
      <c r="C23" s="10"/>
      <c r="D23" s="10"/>
      <c r="E23" s="10"/>
      <c r="F23" s="10"/>
      <c r="G23" s="10"/>
      <c r="H23" s="10"/>
      <c r="I23" s="10"/>
      <c r="J23" s="10"/>
      <c r="K23" s="10"/>
      <c r="L23" s="10"/>
      <c r="N23" s="11"/>
      <c r="O23" s="5"/>
      <c r="P23" s="19"/>
      <c r="Q23" s="13"/>
      <c r="R23" s="13"/>
      <c r="S23" s="19"/>
    </row>
    <row r="24" spans="1:29" x14ac:dyDescent="0.25">
      <c r="A24" s="9" t="s">
        <v>39</v>
      </c>
      <c r="B24" s="14"/>
      <c r="C24" s="15"/>
      <c r="D24" s="7"/>
      <c r="E24" s="16"/>
    </row>
    <row r="25" spans="1:29" ht="15.75" x14ac:dyDescent="0.25">
      <c r="A25" s="14"/>
      <c r="B25" s="27"/>
      <c r="C25" s="24" t="s">
        <v>18</v>
      </c>
      <c r="D25" s="24" t="s">
        <v>19</v>
      </c>
      <c r="E25" s="24" t="s">
        <v>20</v>
      </c>
      <c r="F25" s="24" t="s">
        <v>21</v>
      </c>
      <c r="G25" s="24" t="s">
        <v>22</v>
      </c>
      <c r="H25" s="24" t="s">
        <v>23</v>
      </c>
      <c r="I25" s="24" t="s">
        <v>24</v>
      </c>
      <c r="J25" s="24" t="s">
        <v>25</v>
      </c>
      <c r="K25" s="24" t="s">
        <v>26</v>
      </c>
      <c r="L25" s="24" t="s">
        <v>27</v>
      </c>
      <c r="M25" s="24" t="s">
        <v>28</v>
      </c>
      <c r="N25" s="24" t="s">
        <v>29</v>
      </c>
      <c r="O25" s="24" t="s">
        <v>30</v>
      </c>
      <c r="P25" s="24" t="s">
        <v>31</v>
      </c>
      <c r="Q25" s="24" t="s">
        <v>32</v>
      </c>
      <c r="R25" s="24" t="s">
        <v>33</v>
      </c>
      <c r="S25" s="24" t="s">
        <v>34</v>
      </c>
      <c r="T25" s="24" t="s">
        <v>44</v>
      </c>
      <c r="U25" s="24" t="s">
        <v>41</v>
      </c>
      <c r="V25" s="24" t="s">
        <v>35</v>
      </c>
      <c r="W25" s="24" t="s">
        <v>36</v>
      </c>
      <c r="X25" s="24" t="s">
        <v>37</v>
      </c>
      <c r="Y25" s="24" t="s">
        <v>38</v>
      </c>
    </row>
    <row r="26" spans="1:29" x14ac:dyDescent="0.25">
      <c r="A26" s="9" t="s">
        <v>56</v>
      </c>
      <c r="B26"/>
      <c r="C26" s="10" t="s">
        <v>62</v>
      </c>
      <c r="D26" s="18">
        <v>835.70657417229506</v>
      </c>
      <c r="E26" s="20">
        <v>6.0054725270196077</v>
      </c>
      <c r="F26" s="20">
        <v>4.1429600441731642</v>
      </c>
      <c r="G26" s="20">
        <v>6.0862324194625721</v>
      </c>
      <c r="H26" s="20">
        <v>4.8490352715674252</v>
      </c>
      <c r="I26" s="20">
        <v>82.618594668228468</v>
      </c>
      <c r="J26" s="20">
        <v>20.404640975429292</v>
      </c>
      <c r="K26" t="s">
        <v>48</v>
      </c>
      <c r="L26" s="18">
        <v>125.31926792539072</v>
      </c>
      <c r="M26" s="20">
        <v>49.697191381283993</v>
      </c>
      <c r="N26" s="20">
        <v>51.437004745032183</v>
      </c>
      <c r="O26" s="18">
        <v>524.42472334010301</v>
      </c>
      <c r="P26" s="20">
        <v>16.630042892782896</v>
      </c>
      <c r="Q26" s="20">
        <v>3.431875904780668</v>
      </c>
      <c r="R26" s="20" t="s">
        <v>46</v>
      </c>
      <c r="S26" s="20">
        <v>13.044548753192037</v>
      </c>
      <c r="T26" s="20" t="s">
        <v>46</v>
      </c>
      <c r="U26" s="20">
        <v>2.8</v>
      </c>
      <c r="V26" s="20">
        <v>6.6999999999999993</v>
      </c>
      <c r="W26" s="20">
        <v>67.54070060470066</v>
      </c>
      <c r="X26" s="18">
        <v>147.1409628817112</v>
      </c>
      <c r="Y26" s="20">
        <v>69.609318974495281</v>
      </c>
      <c r="Z26" s="10"/>
      <c r="AA26"/>
      <c r="AB26" s="10"/>
      <c r="AC26" s="10"/>
    </row>
    <row r="27" spans="1:29" x14ac:dyDescent="0.25">
      <c r="A27" s="9" t="s">
        <v>59</v>
      </c>
      <c r="B27"/>
      <c r="C27" s="20">
        <v>13.969931877849655</v>
      </c>
      <c r="D27" s="18">
        <v>570.02745540724482</v>
      </c>
      <c r="E27" s="18">
        <v>114.00219034342305</v>
      </c>
      <c r="F27" s="18">
        <v>170.2559294343543</v>
      </c>
      <c r="G27" s="20">
        <v>29.57695403844092</v>
      </c>
      <c r="H27" s="20">
        <v>44.548910219926839</v>
      </c>
      <c r="I27" s="20">
        <v>75.191060911109403</v>
      </c>
      <c r="J27" s="20">
        <v>16.648562785922405</v>
      </c>
      <c r="K27" t="s">
        <v>48</v>
      </c>
      <c r="L27" s="18">
        <v>124.81066700036884</v>
      </c>
      <c r="M27" s="20">
        <v>74.246406400954413</v>
      </c>
      <c r="N27" s="20">
        <v>32.32602274490165</v>
      </c>
      <c r="O27" s="18">
        <v>182.11375793650879</v>
      </c>
      <c r="P27" s="20">
        <v>10.174960454136906</v>
      </c>
      <c r="Q27" s="20">
        <v>1.3519511140045057</v>
      </c>
      <c r="R27" s="20" t="s">
        <v>46</v>
      </c>
      <c r="S27" s="20">
        <v>17.084895712145322</v>
      </c>
      <c r="T27" s="20" t="s">
        <v>46</v>
      </c>
      <c r="U27" s="20">
        <v>3.6</v>
      </c>
      <c r="V27" s="20">
        <v>16.100000000000001</v>
      </c>
      <c r="W27" s="20">
        <v>32.784733319639649</v>
      </c>
      <c r="X27" s="20">
        <v>62.812963708487622</v>
      </c>
      <c r="Y27" s="20">
        <v>20.278345023382379</v>
      </c>
      <c r="Z27" s="10"/>
      <c r="AA27"/>
      <c r="AB27" s="10"/>
      <c r="AC27" s="10"/>
    </row>
    <row r="28" spans="1:29" x14ac:dyDescent="0.25">
      <c r="A28" s="9" t="s">
        <v>60</v>
      </c>
      <c r="B28"/>
      <c r="C28" s="20">
        <v>11.337915726950444</v>
      </c>
      <c r="D28" s="18">
        <v>612.42619175984987</v>
      </c>
      <c r="E28" s="18">
        <v>106.67347810706013</v>
      </c>
      <c r="F28" s="18">
        <v>149.93569683674306</v>
      </c>
      <c r="G28" s="20">
        <v>29.470178031081929</v>
      </c>
      <c r="H28" s="20">
        <v>38.02290337910064</v>
      </c>
      <c r="I28" s="20">
        <v>62.981416378858889</v>
      </c>
      <c r="J28" s="20">
        <v>15.024312758027538</v>
      </c>
      <c r="K28" t="s">
        <v>48</v>
      </c>
      <c r="L28" s="18">
        <v>133.76204328075389</v>
      </c>
      <c r="M28" s="20">
        <v>78.337942237566139</v>
      </c>
      <c r="N28" s="20">
        <v>27.954893883169664</v>
      </c>
      <c r="O28" s="18">
        <v>169.43557403267198</v>
      </c>
      <c r="P28" s="20">
        <v>9.6279195695058899</v>
      </c>
      <c r="Q28" s="20">
        <v>0.72797367677165681</v>
      </c>
      <c r="R28" s="20" t="s">
        <v>46</v>
      </c>
      <c r="S28" s="20">
        <v>17.546649650311412</v>
      </c>
      <c r="T28" s="20" t="s">
        <v>46</v>
      </c>
      <c r="U28" s="20">
        <v>3.2</v>
      </c>
      <c r="V28" s="20">
        <v>15.399999999999999</v>
      </c>
      <c r="W28" s="20">
        <v>31.954740071041179</v>
      </c>
      <c r="X28" s="20">
        <v>64.180444776161522</v>
      </c>
      <c r="Y28" s="20">
        <v>23.008122238068466</v>
      </c>
      <c r="Z28" s="10"/>
      <c r="AA28"/>
      <c r="AB28" s="10"/>
      <c r="AC28" s="10"/>
    </row>
    <row r="29" spans="1:29" x14ac:dyDescent="0.25">
      <c r="A29" s="9" t="s">
        <v>57</v>
      </c>
      <c r="B29"/>
      <c r="C29" s="20">
        <v>2.9357103221568117</v>
      </c>
      <c r="D29" s="18" t="s">
        <v>63</v>
      </c>
      <c r="E29" s="20">
        <v>13.537760103281489</v>
      </c>
      <c r="F29" s="20">
        <v>2.2687638337138751</v>
      </c>
      <c r="G29" s="20" t="s">
        <v>45</v>
      </c>
      <c r="H29" s="20">
        <v>2.3473993159173796</v>
      </c>
      <c r="I29" s="20">
        <v>25.436759442188567</v>
      </c>
      <c r="J29" s="20">
        <v>15.227344011514395</v>
      </c>
      <c r="K29" t="s">
        <v>48</v>
      </c>
      <c r="L29" s="18">
        <v>213.10378758416684</v>
      </c>
      <c r="M29" s="18">
        <v>290.00007661448052</v>
      </c>
      <c r="N29" s="20">
        <v>16.061357212875663</v>
      </c>
      <c r="O29" s="18">
        <v>156.85567062421373</v>
      </c>
      <c r="P29" s="20">
        <v>6.1268579078673833</v>
      </c>
      <c r="Q29" s="20" t="s">
        <v>47</v>
      </c>
      <c r="R29" s="20" t="s">
        <v>46</v>
      </c>
      <c r="S29" s="20">
        <v>50.100302291020739</v>
      </c>
      <c r="T29" s="20" t="s">
        <v>46</v>
      </c>
      <c r="U29" s="20">
        <v>2.2000000000000002</v>
      </c>
      <c r="V29" s="20">
        <v>41.4</v>
      </c>
      <c r="W29" s="20">
        <v>57.062035841144962</v>
      </c>
      <c r="X29" s="18">
        <v>112.77160538084061</v>
      </c>
      <c r="Y29" s="20">
        <v>43.286467261450838</v>
      </c>
      <c r="Z29" s="10"/>
      <c r="AA29"/>
      <c r="AB29" s="10"/>
      <c r="AC29" s="10"/>
    </row>
    <row r="30" spans="1:29" x14ac:dyDescent="0.25">
      <c r="A30" s="9" t="s">
        <v>58</v>
      </c>
      <c r="B30"/>
      <c r="C30" s="20">
        <v>2.733247541318411</v>
      </c>
      <c r="D30" s="18">
        <v>453.13649476846581</v>
      </c>
      <c r="E30" s="20">
        <v>3.3589931083330002</v>
      </c>
      <c r="F30" s="20" t="s">
        <v>45</v>
      </c>
      <c r="G30" s="20">
        <v>11.958912824207159</v>
      </c>
      <c r="H30" s="20">
        <v>1.9123321931956325</v>
      </c>
      <c r="I30" s="20">
        <v>55.146894470664812</v>
      </c>
      <c r="J30" s="20">
        <v>24.972844178883609</v>
      </c>
      <c r="K30" t="s">
        <v>48</v>
      </c>
      <c r="L30" s="18">
        <v>189.50470466315173</v>
      </c>
      <c r="M30" s="20">
        <v>78.437735794556659</v>
      </c>
      <c r="N30" s="20">
        <v>43.711288617319838</v>
      </c>
      <c r="O30" s="18">
        <v>563.14723851926351</v>
      </c>
      <c r="P30" s="20">
        <v>32.056595839377565</v>
      </c>
      <c r="Q30" s="20">
        <v>6.2397743723284878</v>
      </c>
      <c r="R30" s="20" t="s">
        <v>46</v>
      </c>
      <c r="S30" s="20">
        <v>25.05015114551037</v>
      </c>
      <c r="T30" s="20" t="s">
        <v>46</v>
      </c>
      <c r="U30" s="20" t="s">
        <v>46</v>
      </c>
      <c r="V30" s="20">
        <v>30.4</v>
      </c>
      <c r="W30" s="18">
        <v>196.08590498138904</v>
      </c>
      <c r="X30" s="18">
        <v>385.81199189306182</v>
      </c>
      <c r="Y30" s="18">
        <v>188.54961190010346</v>
      </c>
      <c r="Z30" s="10"/>
      <c r="AA30"/>
      <c r="AB30" s="10"/>
      <c r="AC30" s="10"/>
    </row>
    <row r="31" spans="1:29" x14ac:dyDescent="0.25">
      <c r="A31" s="9" t="s">
        <v>49</v>
      </c>
      <c r="B31"/>
      <c r="C31" s="10" t="s">
        <v>62</v>
      </c>
      <c r="D31" s="18" t="s">
        <v>63</v>
      </c>
      <c r="E31" s="20">
        <v>4.5804451477268193</v>
      </c>
      <c r="F31" s="20">
        <v>7.5954267476508006</v>
      </c>
      <c r="G31" s="20">
        <v>2.4558481692568273</v>
      </c>
      <c r="H31" s="20">
        <v>3.5438339034021835</v>
      </c>
      <c r="I31" s="20">
        <v>11.904403418944248</v>
      </c>
      <c r="J31" s="20">
        <v>11.572781448750941</v>
      </c>
      <c r="K31" t="s">
        <v>48</v>
      </c>
      <c r="L31" s="18">
        <v>325.60631219900625</v>
      </c>
      <c r="M31" s="18">
        <v>161.66556232465879</v>
      </c>
      <c r="N31" s="20">
        <v>15.858048893725336</v>
      </c>
      <c r="O31" s="20">
        <v>72.13788360787774</v>
      </c>
      <c r="P31" s="20">
        <v>9.7373277464320918</v>
      </c>
      <c r="Q31" s="20" t="s">
        <v>47</v>
      </c>
      <c r="R31" s="20" t="s">
        <v>46</v>
      </c>
      <c r="S31" s="20">
        <v>82.3076394781055</v>
      </c>
      <c r="T31" s="20" t="s">
        <v>46</v>
      </c>
      <c r="U31" s="20" t="s">
        <v>46</v>
      </c>
      <c r="V31" s="20">
        <v>10.3</v>
      </c>
      <c r="W31" s="20">
        <v>23.34356011683203</v>
      </c>
      <c r="X31" s="20">
        <v>43.668228761053072</v>
      </c>
      <c r="Y31" s="20">
        <v>11.699045205797525</v>
      </c>
      <c r="Z31" s="10"/>
      <c r="AA31"/>
      <c r="AB31" s="10"/>
      <c r="AC31" s="10"/>
    </row>
    <row r="32" spans="1:29" x14ac:dyDescent="0.25">
      <c r="A32" s="9" t="s">
        <v>52</v>
      </c>
      <c r="B32"/>
      <c r="C32" s="20">
        <v>17.816724713779273</v>
      </c>
      <c r="D32" s="18" t="s">
        <v>63</v>
      </c>
      <c r="E32" s="18">
        <v>152.07077890453039</v>
      </c>
      <c r="F32" s="20">
        <v>38.075775644067647</v>
      </c>
      <c r="G32" s="20">
        <v>46.234011186443745</v>
      </c>
      <c r="H32" s="20">
        <v>24.209522232685167</v>
      </c>
      <c r="I32" s="18">
        <v>211.53209152124012</v>
      </c>
      <c r="J32" s="20">
        <v>21.927375376580731</v>
      </c>
      <c r="K32" t="s">
        <v>48</v>
      </c>
      <c r="L32" s="18">
        <v>196.42167724344924</v>
      </c>
      <c r="M32" s="18">
        <v>779.38768009604019</v>
      </c>
      <c r="N32" s="20">
        <v>72.682724096241131</v>
      </c>
      <c r="O32" s="18">
        <v>485.11252518867104</v>
      </c>
      <c r="P32" s="20">
        <v>34.791800262532639</v>
      </c>
      <c r="Q32" s="20">
        <v>0.72797367677165681</v>
      </c>
      <c r="R32" s="20">
        <v>2.5</v>
      </c>
      <c r="S32" s="20">
        <v>31.168390826211059</v>
      </c>
      <c r="T32" s="20" t="s">
        <v>46</v>
      </c>
      <c r="U32" s="20" t="s">
        <v>46</v>
      </c>
      <c r="V32" s="20">
        <v>18.5</v>
      </c>
      <c r="W32" s="18">
        <v>130.20519087388533</v>
      </c>
      <c r="X32" s="18">
        <v>253.07516292418237</v>
      </c>
      <c r="Y32" s="18">
        <v>122.45000648734742</v>
      </c>
      <c r="Z32" s="10"/>
      <c r="AA32"/>
      <c r="AB32" s="10"/>
      <c r="AC32" s="10"/>
    </row>
    <row r="33" spans="1:52" x14ac:dyDescent="0.25">
      <c r="A33" s="9" t="s">
        <v>53</v>
      </c>
      <c r="B33"/>
      <c r="C33" s="20">
        <v>14.982245782041661</v>
      </c>
      <c r="D33" s="18">
        <v>457.94561069734925</v>
      </c>
      <c r="E33" s="20">
        <v>97.105437131808571</v>
      </c>
      <c r="F33" s="18">
        <v>137.8027424216645</v>
      </c>
      <c r="G33" s="20">
        <v>46.234011186443745</v>
      </c>
      <c r="H33" s="20">
        <v>65.368835188942484</v>
      </c>
      <c r="I33" s="20">
        <v>94.421251049403949</v>
      </c>
      <c r="J33" s="20">
        <v>16.547047159178977</v>
      </c>
      <c r="K33" t="s">
        <v>48</v>
      </c>
      <c r="L33" s="18">
        <v>184.31697522792854</v>
      </c>
      <c r="M33" s="18">
        <v>124.64215268117212</v>
      </c>
      <c r="N33" s="20">
        <v>23.380456702287354</v>
      </c>
      <c r="O33" s="18">
        <v>209.14089416561831</v>
      </c>
      <c r="P33" s="20">
        <v>14.660695708111239</v>
      </c>
      <c r="Q33" s="20">
        <v>1.5599435930821219</v>
      </c>
      <c r="R33" s="20">
        <v>5.9</v>
      </c>
      <c r="S33" s="20">
        <v>15.007002990397918</v>
      </c>
      <c r="T33" s="20" t="s">
        <v>46</v>
      </c>
      <c r="U33" s="20">
        <v>2.6</v>
      </c>
      <c r="V33" s="20">
        <v>10.9</v>
      </c>
      <c r="W33" s="20">
        <v>24.588549989729735</v>
      </c>
      <c r="X33" s="20">
        <v>49.411649245283442</v>
      </c>
      <c r="Y33" s="20">
        <v>15.403742854300075</v>
      </c>
      <c r="Z33" s="10"/>
      <c r="AA33"/>
      <c r="AB33" s="10"/>
      <c r="AC33" s="10"/>
    </row>
    <row r="34" spans="1:52" x14ac:dyDescent="0.25">
      <c r="A34" s="9" t="s">
        <v>50</v>
      </c>
      <c r="B34"/>
      <c r="C34" s="10" t="s">
        <v>62</v>
      </c>
      <c r="D34" s="18">
        <v>212.58255310125557</v>
      </c>
      <c r="E34" s="20">
        <v>4.4786574777773343</v>
      </c>
      <c r="F34" s="20">
        <v>2.564689551154816</v>
      </c>
      <c r="G34" s="20">
        <v>2.2422961545388427</v>
      </c>
      <c r="H34" s="20">
        <v>1.1509647284325752</v>
      </c>
      <c r="I34" s="20">
        <v>13.735850098781826</v>
      </c>
      <c r="J34" s="20">
        <v>5.1772969639148938</v>
      </c>
      <c r="K34" t="s">
        <v>48</v>
      </c>
      <c r="L34" s="18">
        <v>104.26318962948497</v>
      </c>
      <c r="M34" s="20">
        <v>58.179643725479053</v>
      </c>
      <c r="N34" s="20">
        <v>11.080303393692704</v>
      </c>
      <c r="O34" s="20">
        <v>98.968458846230092</v>
      </c>
      <c r="P34" s="20">
        <v>10.174960454136906</v>
      </c>
      <c r="Q34" s="20" t="s">
        <v>47</v>
      </c>
      <c r="R34" s="20" t="s">
        <v>46</v>
      </c>
      <c r="S34" s="20">
        <v>20.778927217474042</v>
      </c>
      <c r="T34" s="20" t="s">
        <v>46</v>
      </c>
      <c r="U34" s="20">
        <v>3</v>
      </c>
      <c r="V34" s="20">
        <v>28.2</v>
      </c>
      <c r="W34" s="20">
        <v>37.245947030856435</v>
      </c>
      <c r="X34" s="20">
        <v>76.305443576203388</v>
      </c>
      <c r="Y34" s="20">
        <v>25.737899452754554</v>
      </c>
      <c r="Z34" s="10"/>
      <c r="AA34"/>
      <c r="AB34" s="10"/>
      <c r="AC34" s="10"/>
    </row>
    <row r="35" spans="1:52" x14ac:dyDescent="0.25">
      <c r="A35" s="9" t="s">
        <v>54</v>
      </c>
      <c r="B35"/>
      <c r="C35" s="20">
        <v>2.2270905892224091</v>
      </c>
      <c r="D35" s="20">
        <v>42.693172021720301</v>
      </c>
      <c r="E35" s="20">
        <v>88.555272856051829</v>
      </c>
      <c r="F35" s="20">
        <v>52.970703421928313</v>
      </c>
      <c r="G35" s="20">
        <v>7.2607685004114897</v>
      </c>
      <c r="H35" s="20">
        <v>25.079656478128662</v>
      </c>
      <c r="I35" s="18">
        <v>102.25577295759804</v>
      </c>
      <c r="J35" s="20">
        <v>32.485000557897379</v>
      </c>
      <c r="K35" t="s">
        <v>48</v>
      </c>
      <c r="L35" s="20">
        <v>30.210894946299547</v>
      </c>
      <c r="M35" s="18">
        <v>130.03100475866074</v>
      </c>
      <c r="N35" s="20">
        <v>27.243314766143527</v>
      </c>
      <c r="O35" s="18">
        <v>1124.1323061401984</v>
      </c>
      <c r="P35" s="20">
        <v>6.0174497309411805</v>
      </c>
      <c r="Q35" s="20">
        <v>2.8078984675478198</v>
      </c>
      <c r="R35" s="20">
        <v>4</v>
      </c>
      <c r="S35" s="20">
        <v>31.63014476437715</v>
      </c>
      <c r="T35" s="20" t="s">
        <v>46</v>
      </c>
      <c r="U35" s="20">
        <v>5.6</v>
      </c>
      <c r="V35" s="20">
        <v>17.600000000000001</v>
      </c>
      <c r="W35" s="20">
        <v>45.234632048616731</v>
      </c>
      <c r="X35" s="20">
        <v>98.367471468008915</v>
      </c>
      <c r="Y35" s="20">
        <v>31.684914099034962</v>
      </c>
      <c r="Z35" s="10"/>
      <c r="AA35"/>
      <c r="AB35" s="10"/>
      <c r="AC35" s="10"/>
    </row>
    <row r="36" spans="1:52" x14ac:dyDescent="0.25">
      <c r="A36" s="9" t="s">
        <v>55</v>
      </c>
      <c r="B36"/>
      <c r="C36" s="20">
        <v>27.433706803603311</v>
      </c>
      <c r="D36" s="18">
        <v>334.08633922284116</v>
      </c>
      <c r="E36" s="18">
        <v>217.41846301209966</v>
      </c>
      <c r="F36" s="20">
        <v>81.774139919513175</v>
      </c>
      <c r="G36" s="20">
        <v>38.439362649237296</v>
      </c>
      <c r="H36" s="20">
        <v>91.581629332927747</v>
      </c>
      <c r="I36" s="18">
        <v>134.61133096806191</v>
      </c>
      <c r="J36" s="20">
        <v>20.100094095199005</v>
      </c>
      <c r="K36" t="s">
        <v>48</v>
      </c>
      <c r="L36" s="18">
        <v>172.0088328423991</v>
      </c>
      <c r="M36" s="18">
        <v>102.0888088013123</v>
      </c>
      <c r="N36" s="20">
        <v>33.44421850022843</v>
      </c>
      <c r="O36" s="18">
        <v>201.47501552608907</v>
      </c>
      <c r="P36" s="20">
        <v>15.973593831225678</v>
      </c>
      <c r="Q36" s="20">
        <v>1.9759285512373543</v>
      </c>
      <c r="R36" s="20" t="s">
        <v>46</v>
      </c>
      <c r="S36" s="20">
        <v>16.854018743062277</v>
      </c>
      <c r="T36" s="20" t="s">
        <v>46</v>
      </c>
      <c r="U36" s="20" t="s">
        <v>46</v>
      </c>
      <c r="V36" s="20">
        <v>14</v>
      </c>
      <c r="W36" s="20">
        <v>24.796048301879352</v>
      </c>
      <c r="X36" s="20">
        <v>53.422927043793536</v>
      </c>
      <c r="Y36" s="20">
        <v>22.61815406454188</v>
      </c>
      <c r="Z36" s="10"/>
      <c r="AA36"/>
      <c r="AB36" s="10"/>
      <c r="AC36" s="10"/>
    </row>
    <row r="37" spans="1:52" x14ac:dyDescent="0.25">
      <c r="A37" s="9" t="s">
        <v>51</v>
      </c>
      <c r="B37"/>
      <c r="C37" s="20">
        <v>2.733247541318411</v>
      </c>
      <c r="D37" s="18">
        <v>644.42153447038049</v>
      </c>
      <c r="E37" s="20">
        <v>32.266691373986703</v>
      </c>
      <c r="F37" s="20">
        <v>75.46105794743977</v>
      </c>
      <c r="G37" s="20">
        <v>16.550281140643836</v>
      </c>
      <c r="H37" s="20">
        <v>5.0665688329282981</v>
      </c>
      <c r="I37" s="20">
        <v>44.565202542714367</v>
      </c>
      <c r="J37" s="20">
        <v>15.328859638257825</v>
      </c>
      <c r="K37" t="s">
        <v>48</v>
      </c>
      <c r="L37" s="18">
        <v>218.80011794441188</v>
      </c>
      <c r="M37" s="18">
        <v>143.90230918034442</v>
      </c>
      <c r="N37" s="20">
        <v>8.8439118830391301</v>
      </c>
      <c r="O37" s="18">
        <v>322.55658583249965</v>
      </c>
      <c r="P37" s="20">
        <v>17.614716485118731</v>
      </c>
      <c r="Q37" s="20" t="s">
        <v>47</v>
      </c>
      <c r="R37" s="20" t="s">
        <v>46</v>
      </c>
      <c r="S37" s="20">
        <v>50.56205622918683</v>
      </c>
      <c r="T37" s="20" t="s">
        <v>46</v>
      </c>
      <c r="U37" s="20">
        <v>2.1</v>
      </c>
      <c r="V37" s="20">
        <v>34.200000000000003</v>
      </c>
      <c r="W37" s="20">
        <v>45.960876141140389</v>
      </c>
      <c r="X37" s="20">
        <v>87.974615353687298</v>
      </c>
      <c r="Y37" s="20">
        <v>28.077708493914059</v>
      </c>
      <c r="Z37" s="10"/>
      <c r="AA37"/>
      <c r="AB37" s="10"/>
      <c r="AC37" s="10"/>
      <c r="AL37" s="12"/>
      <c r="AM37" s="12"/>
      <c r="AN37" s="12"/>
      <c r="AO37" s="12"/>
      <c r="AP37" s="12"/>
      <c r="AQ37" s="12"/>
      <c r="AR37" s="12"/>
    </row>
    <row r="38" spans="1:52" x14ac:dyDescent="0.25">
      <c r="A38" s="14"/>
      <c r="B38" s="14"/>
      <c r="C38" s="10"/>
      <c r="D38" s="10"/>
      <c r="E38" s="10"/>
      <c r="F38" s="10"/>
      <c r="G38" s="10"/>
      <c r="H38" s="10"/>
      <c r="I38" s="10"/>
      <c r="J38" s="10"/>
      <c r="K38" s="10"/>
      <c r="L38" s="10"/>
      <c r="M38" s="10"/>
      <c r="N38" s="10"/>
      <c r="O38" s="10"/>
      <c r="P38" s="10"/>
      <c r="Q38" s="10"/>
      <c r="R38" s="10"/>
      <c r="S38" s="10"/>
      <c r="T38" s="10"/>
      <c r="U38" s="10"/>
      <c r="V38" s="10"/>
      <c r="W38" s="10"/>
      <c r="X38" s="10"/>
      <c r="Y38" s="10"/>
      <c r="AL38" s="12"/>
      <c r="AM38" s="12"/>
      <c r="AN38" s="12"/>
      <c r="AO38" s="12"/>
      <c r="AP38" s="12"/>
      <c r="AQ38" s="12"/>
      <c r="AR38" s="12"/>
    </row>
    <row r="39" spans="1:52" ht="15.75" x14ac:dyDescent="0.25">
      <c r="A39" s="14"/>
      <c r="B39" s="14"/>
      <c r="C39" s="15"/>
      <c r="D39" s="7"/>
      <c r="E39" s="16"/>
      <c r="AL39" s="1"/>
      <c r="AM39" s="58"/>
      <c r="AN39" s="58"/>
      <c r="AO39" s="58"/>
      <c r="AP39" s="58"/>
      <c r="AQ39" s="58"/>
      <c r="AR39" s="58"/>
    </row>
    <row r="40" spans="1:52" ht="15.75" x14ac:dyDescent="0.25">
      <c r="A40" s="9" t="s">
        <v>42</v>
      </c>
      <c r="C40" s="22" t="s">
        <v>18</v>
      </c>
      <c r="D40" s="22" t="s">
        <v>19</v>
      </c>
      <c r="E40" s="22" t="s">
        <v>20</v>
      </c>
      <c r="F40" s="22" t="s">
        <v>21</v>
      </c>
      <c r="G40" s="22" t="s">
        <v>22</v>
      </c>
      <c r="H40" s="22" t="s">
        <v>23</v>
      </c>
      <c r="I40" s="22" t="s">
        <v>24</v>
      </c>
      <c r="J40" s="22" t="s">
        <v>25</v>
      </c>
      <c r="K40" s="22" t="s">
        <v>40</v>
      </c>
      <c r="L40" s="22" t="s">
        <v>27</v>
      </c>
      <c r="M40" s="22" t="s">
        <v>28</v>
      </c>
      <c r="N40" s="22" t="s">
        <v>29</v>
      </c>
      <c r="O40" s="22" t="s">
        <v>30</v>
      </c>
      <c r="P40" s="22" t="s">
        <v>31</v>
      </c>
      <c r="Q40" s="22" t="s">
        <v>32</v>
      </c>
      <c r="R40" s="22" t="s">
        <v>33</v>
      </c>
      <c r="S40" s="22" t="s">
        <v>34</v>
      </c>
      <c r="T40" s="22" t="s">
        <v>44</v>
      </c>
      <c r="U40" s="22" t="s">
        <v>41</v>
      </c>
      <c r="V40" s="22" t="s">
        <v>35</v>
      </c>
      <c r="W40" s="22" t="s">
        <v>36</v>
      </c>
      <c r="X40" s="22" t="s">
        <v>37</v>
      </c>
      <c r="Y40" s="22" t="s">
        <v>38</v>
      </c>
      <c r="AL40" s="1"/>
      <c r="AM40" s="8"/>
      <c r="AN40" s="8"/>
      <c r="AO40" s="8"/>
      <c r="AP40" s="8"/>
      <c r="AQ40" s="8"/>
      <c r="AR40" s="8"/>
    </row>
    <row r="41" spans="1:52" ht="15.75" x14ac:dyDescent="0.25">
      <c r="C41" s="22">
        <v>1.5</v>
      </c>
      <c r="D41" s="22">
        <v>4</v>
      </c>
      <c r="E41" s="22">
        <v>3</v>
      </c>
      <c r="F41" s="22">
        <v>1</v>
      </c>
      <c r="G41" s="22">
        <v>1</v>
      </c>
      <c r="H41" s="22">
        <v>1</v>
      </c>
      <c r="I41" s="22">
        <v>1</v>
      </c>
      <c r="J41" s="22">
        <v>2</v>
      </c>
      <c r="K41" s="22">
        <v>3</v>
      </c>
      <c r="L41" s="22">
        <v>0.5</v>
      </c>
      <c r="M41" s="22">
        <v>1</v>
      </c>
      <c r="N41" s="22">
        <v>1</v>
      </c>
      <c r="O41" s="22">
        <v>1</v>
      </c>
      <c r="P41" s="22">
        <v>0.5</v>
      </c>
      <c r="Q41" s="22">
        <v>0.5</v>
      </c>
      <c r="R41" s="23">
        <v>2</v>
      </c>
      <c r="S41" s="23">
        <v>1</v>
      </c>
      <c r="T41" s="23">
        <v>2</v>
      </c>
      <c r="U41" s="22">
        <v>2</v>
      </c>
      <c r="V41" s="23">
        <v>2</v>
      </c>
      <c r="W41" s="22">
        <v>4</v>
      </c>
      <c r="X41" s="22">
        <v>6</v>
      </c>
      <c r="Y41" s="22">
        <v>4</v>
      </c>
      <c r="AL41" s="1"/>
      <c r="AM41" s="58"/>
      <c r="AN41" s="58"/>
      <c r="AO41" s="58"/>
      <c r="AP41" s="58"/>
      <c r="AQ41" s="8"/>
      <c r="AR41" s="58"/>
    </row>
    <row r="42" spans="1:52" ht="15.75" x14ac:dyDescent="0.25">
      <c r="D42" s="7"/>
      <c r="E42" s="16"/>
      <c r="AC42" s="10"/>
      <c r="AE42" s="2"/>
      <c r="AF42" s="2"/>
      <c r="AG42" s="2"/>
      <c r="AH42" s="2"/>
      <c r="AI42" s="2"/>
      <c r="AJ42" s="2"/>
      <c r="AK42" s="2"/>
      <c r="AL42" s="1"/>
      <c r="AM42" s="8"/>
      <c r="AN42" s="8"/>
      <c r="AO42" s="8"/>
      <c r="AP42" s="8"/>
      <c r="AQ42" s="8"/>
      <c r="AR42" s="8"/>
    </row>
    <row r="43" spans="1:52" ht="15.75" x14ac:dyDescent="0.25">
      <c r="A43" s="26"/>
      <c r="B43" s="12"/>
      <c r="C43" s="25"/>
      <c r="AC43" s="10"/>
      <c r="AE43" s="2"/>
      <c r="AF43" s="2"/>
      <c r="AG43" s="2"/>
      <c r="AH43" s="2"/>
      <c r="AI43" s="2"/>
      <c r="AJ43" s="2"/>
      <c r="AK43" s="2"/>
      <c r="AL43" s="1"/>
      <c r="AM43" s="8"/>
      <c r="AN43" s="8"/>
      <c r="AO43" s="8"/>
      <c r="AP43" s="8"/>
      <c r="AQ43" s="8"/>
      <c r="AR43" s="60"/>
    </row>
    <row r="44" spans="1:52" ht="18.75" x14ac:dyDescent="0.3">
      <c r="F44" s="46"/>
      <c r="AC44" s="10"/>
      <c r="AE44" s="2"/>
      <c r="AF44" s="2"/>
      <c r="AG44" s="2"/>
      <c r="AH44" s="2"/>
      <c r="AI44" s="2"/>
      <c r="AJ44" s="2"/>
      <c r="AK44" s="2"/>
      <c r="AL44" s="1"/>
      <c r="AM44" s="8"/>
      <c r="AN44" s="8"/>
      <c r="AO44" s="8"/>
      <c r="AP44" s="8"/>
      <c r="AQ44" s="8"/>
      <c r="AR44" s="8"/>
    </row>
    <row r="45" spans="1:52" ht="15.75" x14ac:dyDescent="0.25">
      <c r="F45" s="31"/>
      <c r="G45" s="32" t="s">
        <v>56</v>
      </c>
      <c r="H45" s="32" t="s">
        <v>57</v>
      </c>
      <c r="I45" s="32" t="s">
        <v>58</v>
      </c>
      <c r="J45" s="33" t="s">
        <v>49</v>
      </c>
      <c r="K45" s="33" t="s">
        <v>50</v>
      </c>
      <c r="L45" s="33" t="s">
        <v>51</v>
      </c>
      <c r="M45" s="34"/>
      <c r="N45" s="34"/>
      <c r="O45" s="34"/>
      <c r="P45" s="34"/>
      <c r="Q45" s="34"/>
      <c r="R45" s="31"/>
      <c r="S45" s="31"/>
      <c r="T45" s="31"/>
      <c r="U45" s="31"/>
      <c r="AC45" s="10"/>
      <c r="AE45" s="2"/>
      <c r="AF45" s="2"/>
      <c r="AG45" s="2"/>
      <c r="AH45" s="2"/>
      <c r="AI45" s="2"/>
      <c r="AJ45" s="2"/>
      <c r="AK45" s="2"/>
      <c r="AL45" s="1"/>
      <c r="AM45" s="8"/>
      <c r="AN45" s="8"/>
      <c r="AO45" s="8"/>
      <c r="AP45" s="8"/>
      <c r="AQ45" s="8"/>
      <c r="AR45" s="8"/>
    </row>
    <row r="46" spans="1:52" x14ac:dyDescent="0.25">
      <c r="F46" s="31"/>
      <c r="G46" s="31"/>
      <c r="H46" s="31"/>
      <c r="I46" s="31"/>
      <c r="J46" s="31"/>
      <c r="K46" s="31"/>
      <c r="L46" s="31"/>
      <c r="M46" s="34"/>
      <c r="N46" s="34"/>
      <c r="O46" s="34"/>
      <c r="P46" s="34"/>
      <c r="Q46" s="34"/>
      <c r="R46" s="31"/>
      <c r="S46" s="31"/>
      <c r="T46" s="31"/>
      <c r="U46" s="31"/>
      <c r="AC46" s="10"/>
      <c r="AE46" s="2"/>
      <c r="AF46" s="2"/>
      <c r="AG46" s="2"/>
      <c r="AH46" s="2"/>
      <c r="AI46" s="2"/>
      <c r="AJ46" s="2"/>
      <c r="AK46" s="2"/>
      <c r="AL46" s="12"/>
      <c r="AM46" s="12"/>
      <c r="AN46" s="12"/>
      <c r="AO46" s="12"/>
      <c r="AP46" s="12"/>
      <c r="AQ46" s="12"/>
      <c r="AR46" s="12"/>
    </row>
    <row r="47" spans="1:52" ht="17.25" x14ac:dyDescent="0.3">
      <c r="F47" s="35" t="s">
        <v>4</v>
      </c>
      <c r="G47" s="36">
        <v>73.533045705760799</v>
      </c>
      <c r="H47" s="36">
        <v>73.233417193668387</v>
      </c>
      <c r="I47" s="36">
        <v>71.866821585139107</v>
      </c>
      <c r="J47" s="37">
        <v>76.301445286078945</v>
      </c>
      <c r="K47" s="36">
        <v>90.358407549718393</v>
      </c>
      <c r="L47" s="36">
        <v>76.917842132009099</v>
      </c>
      <c r="M47" s="34"/>
      <c r="N47" s="34"/>
      <c r="O47" s="32" t="s">
        <v>56</v>
      </c>
      <c r="P47" s="32" t="s">
        <v>57</v>
      </c>
      <c r="Q47" s="32" t="s">
        <v>58</v>
      </c>
      <c r="R47" s="33" t="s">
        <v>49</v>
      </c>
      <c r="S47" s="33" t="s">
        <v>50</v>
      </c>
      <c r="T47" s="33" t="s">
        <v>51</v>
      </c>
      <c r="U47" s="31"/>
      <c r="W47" s="1" t="s">
        <v>111</v>
      </c>
      <c r="X47" s="64"/>
      <c r="Y47" s="64"/>
      <c r="AC47" s="10"/>
      <c r="AE47" s="1" t="s">
        <v>112</v>
      </c>
      <c r="AF47" s="1"/>
      <c r="AG47" s="1"/>
      <c r="AH47" s="2"/>
      <c r="AI47" s="2"/>
      <c r="AJ47" s="2"/>
      <c r="AK47" s="2"/>
      <c r="AL47" s="1"/>
      <c r="AM47" s="1" t="s">
        <v>109</v>
      </c>
      <c r="AN47" s="12"/>
      <c r="AO47" s="12"/>
      <c r="AP47" s="12"/>
      <c r="AQ47" s="12"/>
      <c r="AR47" s="12"/>
      <c r="AT47" s="24" t="s">
        <v>110</v>
      </c>
    </row>
    <row r="48" spans="1:52" ht="17.25" x14ac:dyDescent="0.3">
      <c r="F48" s="35" t="s">
        <v>5</v>
      </c>
      <c r="G48" s="38">
        <v>0.39303663067889677</v>
      </c>
      <c r="H48" s="38">
        <v>0.23060822718404655</v>
      </c>
      <c r="I48" s="38">
        <v>0.28775896174704935</v>
      </c>
      <c r="J48" s="39">
        <v>8.0211557281407497E-2</v>
      </c>
      <c r="K48" s="38">
        <v>9.324593533963621E-2</v>
      </c>
      <c r="L48" s="38">
        <v>0.46723232116419872</v>
      </c>
      <c r="M48" s="34"/>
      <c r="N48" s="34"/>
      <c r="O48" s="34"/>
      <c r="P48" s="34"/>
      <c r="Q48" s="34"/>
      <c r="R48" s="31"/>
      <c r="S48" s="31"/>
      <c r="T48" s="31"/>
      <c r="U48" s="31"/>
      <c r="X48" s="2" t="s">
        <v>56</v>
      </c>
      <c r="Y48" s="2" t="s">
        <v>57</v>
      </c>
      <c r="Z48" s="2" t="s">
        <v>58</v>
      </c>
      <c r="AA48" s="2" t="s">
        <v>70</v>
      </c>
      <c r="AB48" s="2" t="s">
        <v>71</v>
      </c>
      <c r="AC48" s="2" t="s">
        <v>72</v>
      </c>
      <c r="AE48" s="2" t="s">
        <v>56</v>
      </c>
      <c r="AF48" s="2" t="s">
        <v>57</v>
      </c>
      <c r="AG48" s="2" t="s">
        <v>58</v>
      </c>
      <c r="AH48" s="2" t="s">
        <v>70</v>
      </c>
      <c r="AI48" s="2" t="s">
        <v>71</v>
      </c>
      <c r="AJ48" s="2" t="s">
        <v>72</v>
      </c>
      <c r="AK48" s="2"/>
      <c r="AL48" s="1"/>
      <c r="AM48" s="9" t="s">
        <v>56</v>
      </c>
      <c r="AN48" s="9" t="s">
        <v>57</v>
      </c>
      <c r="AO48" s="9" t="s">
        <v>58</v>
      </c>
      <c r="AP48" s="9" t="s">
        <v>49</v>
      </c>
      <c r="AQ48" s="9" t="s">
        <v>50</v>
      </c>
      <c r="AR48" s="9" t="s">
        <v>51</v>
      </c>
      <c r="AU48" s="63" t="s">
        <v>56</v>
      </c>
      <c r="AV48" s="63" t="s">
        <v>57</v>
      </c>
      <c r="AW48" s="63" t="s">
        <v>58</v>
      </c>
      <c r="AX48" s="63" t="s">
        <v>49</v>
      </c>
      <c r="AY48" s="63" t="s">
        <v>50</v>
      </c>
      <c r="AZ48" s="63" t="s">
        <v>51</v>
      </c>
    </row>
    <row r="49" spans="6:52" ht="17.25" x14ac:dyDescent="0.3">
      <c r="F49" s="35" t="s">
        <v>6</v>
      </c>
      <c r="G49" s="36">
        <v>12.5006988744453</v>
      </c>
      <c r="H49" s="36">
        <v>13.584097558038744</v>
      </c>
      <c r="I49" s="36">
        <v>13.7320731803466</v>
      </c>
      <c r="J49" s="36">
        <v>12.294854282232899</v>
      </c>
      <c r="K49" s="38">
        <v>4.5696780248218047</v>
      </c>
      <c r="L49" s="36">
        <v>10.212861385640201</v>
      </c>
      <c r="M49" s="34"/>
      <c r="N49" s="34" t="s">
        <v>28</v>
      </c>
      <c r="O49" s="36">
        <v>49.697191381283993</v>
      </c>
      <c r="P49" s="40">
        <v>290.00007661448052</v>
      </c>
      <c r="Q49" s="36">
        <v>78.437735794556659</v>
      </c>
      <c r="R49" s="40">
        <v>161.66556232465879</v>
      </c>
      <c r="S49" s="36">
        <v>58.179643725479053</v>
      </c>
      <c r="T49" s="40">
        <v>143.90230918034442</v>
      </c>
      <c r="U49" s="31"/>
      <c r="X49" t="s">
        <v>98</v>
      </c>
      <c r="Y49" t="s">
        <v>98</v>
      </c>
      <c r="Z49" t="s">
        <v>98</v>
      </c>
      <c r="AA49" t="s">
        <v>98</v>
      </c>
      <c r="AB49" t="s">
        <v>98</v>
      </c>
      <c r="AC49" t="s">
        <v>98</v>
      </c>
      <c r="AE49" s="3" t="s">
        <v>99</v>
      </c>
      <c r="AF49" s="3" t="s">
        <v>99</v>
      </c>
      <c r="AG49" s="3" t="s">
        <v>99</v>
      </c>
      <c r="AH49" s="3" t="s">
        <v>99</v>
      </c>
      <c r="AI49" s="3" t="s">
        <v>99</v>
      </c>
      <c r="AJ49" s="3" t="s">
        <v>99</v>
      </c>
    </row>
    <row r="50" spans="6:52" ht="17.25" x14ac:dyDescent="0.3">
      <c r="F50" s="35" t="s">
        <v>7</v>
      </c>
      <c r="G50" s="38">
        <v>3.0001974919001242</v>
      </c>
      <c r="H50" s="38">
        <v>1.4794667269685284</v>
      </c>
      <c r="I50" s="38">
        <v>2.4033786013611196</v>
      </c>
      <c r="J50" s="38">
        <v>0.55253553272498102</v>
      </c>
      <c r="K50" s="38">
        <v>0.66525680716067848</v>
      </c>
      <c r="L50" s="38">
        <v>3.1330475653421965</v>
      </c>
      <c r="M50" s="34"/>
      <c r="N50" s="34" t="s">
        <v>38</v>
      </c>
      <c r="O50" s="36">
        <v>69.609318974495281</v>
      </c>
      <c r="P50" s="36">
        <v>43.286467261450838</v>
      </c>
      <c r="Q50" s="40">
        <v>188.54961190010346</v>
      </c>
      <c r="R50" s="36">
        <v>11.699045205797525</v>
      </c>
      <c r="S50" s="36">
        <v>25.737899452754554</v>
      </c>
      <c r="T50" s="36">
        <v>28.077708493914059</v>
      </c>
      <c r="U50" s="31"/>
      <c r="W50" t="s">
        <v>73</v>
      </c>
      <c r="X50" s="47">
        <v>1728.2589942486725</v>
      </c>
      <c r="Y50" s="47">
        <v>16520.837703358524</v>
      </c>
      <c r="Z50" s="47">
        <v>4142.7930065326627</v>
      </c>
      <c r="AA50" s="47">
        <v>8676.0524784346271</v>
      </c>
      <c r="AB50" s="47">
        <v>22844.190260904077</v>
      </c>
      <c r="AC50" s="47">
        <v>70442.921491557892</v>
      </c>
      <c r="AE50" s="28">
        <f>0.001*X50</f>
        <v>1.7282589942486726</v>
      </c>
      <c r="AF50" s="28">
        <f t="shared" ref="AF50:AJ50" si="1">0.001*Y50</f>
        <v>16.520837703358524</v>
      </c>
      <c r="AG50" s="28">
        <f t="shared" si="1"/>
        <v>4.1427930065326626</v>
      </c>
      <c r="AH50" s="28">
        <f t="shared" si="1"/>
        <v>8.6760524784346273</v>
      </c>
      <c r="AI50" s="28">
        <f t="shared" si="1"/>
        <v>22.844190260904078</v>
      </c>
      <c r="AJ50" s="28">
        <f t="shared" si="1"/>
        <v>70.442921491557897</v>
      </c>
    </row>
    <row r="51" spans="6:52" ht="15.75" x14ac:dyDescent="0.25">
      <c r="F51" s="35" t="s">
        <v>8</v>
      </c>
      <c r="G51" s="38">
        <v>2.1615373500939169E-2</v>
      </c>
      <c r="H51" s="38">
        <v>1.2969224100563502E-2</v>
      </c>
      <c r="I51" s="38" t="s">
        <v>64</v>
      </c>
      <c r="J51" s="38" t="s">
        <v>64</v>
      </c>
      <c r="K51" s="38" t="s">
        <v>64</v>
      </c>
      <c r="L51" s="41" t="s">
        <v>64</v>
      </c>
      <c r="M51" s="34"/>
      <c r="N51" s="38" t="s">
        <v>34</v>
      </c>
      <c r="O51" s="36">
        <v>13.044548753192037</v>
      </c>
      <c r="P51" s="36">
        <v>50.100302291020739</v>
      </c>
      <c r="Q51" s="36">
        <v>25.05015114551037</v>
      </c>
      <c r="R51" s="36">
        <v>82.3076394781055</v>
      </c>
      <c r="S51" s="36">
        <v>20.778927217474042</v>
      </c>
      <c r="T51" s="36">
        <v>50.56205622918683</v>
      </c>
      <c r="U51" s="31"/>
      <c r="W51" t="s">
        <v>74</v>
      </c>
      <c r="X51" s="47">
        <v>1562.3616412795568</v>
      </c>
      <c r="Y51" s="47">
        <v>981.34316959646094</v>
      </c>
      <c r="Z51" s="47">
        <v>2603.294035205714</v>
      </c>
      <c r="AA51" s="47">
        <v>3103.9982398981497</v>
      </c>
      <c r="AB51" s="47">
        <v>1533.2502847523074</v>
      </c>
      <c r="AC51" s="47">
        <v>2229.4457794793429</v>
      </c>
      <c r="AE51" s="28">
        <f t="shared" ref="AE51:AE97" si="2">0.001*X51</f>
        <v>1.5623616412795569</v>
      </c>
      <c r="AF51" s="28">
        <f t="shared" ref="AF51:AF97" si="3">0.001*Y51</f>
        <v>0.98134316959646095</v>
      </c>
      <c r="AG51" s="28">
        <f t="shared" ref="AG51:AG97" si="4">0.001*Z51</f>
        <v>2.6032940352057139</v>
      </c>
      <c r="AH51" s="28">
        <f t="shared" ref="AH51:AH97" si="5">0.001*AA51</f>
        <v>3.1039982398981496</v>
      </c>
      <c r="AI51" s="28">
        <f t="shared" ref="AI51:AI97" si="6">0.001*AB51</f>
        <v>1.5332502847523075</v>
      </c>
      <c r="AJ51" s="28">
        <f t="shared" ref="AJ51:AJ97" si="7">0.001*AC51</f>
        <v>2.229445779479343</v>
      </c>
    </row>
    <row r="52" spans="6:52" ht="15.75" x14ac:dyDescent="0.25">
      <c r="F52" s="35" t="s">
        <v>9</v>
      </c>
      <c r="G52" s="38">
        <v>7.2603867319971621E-2</v>
      </c>
      <c r="H52" s="38">
        <v>0.46247668909296996</v>
      </c>
      <c r="I52" s="38">
        <v>0.15316432283939219</v>
      </c>
      <c r="J52" s="38">
        <v>0.18996354326184356</v>
      </c>
      <c r="K52" s="38">
        <v>0.26952942525633306</v>
      </c>
      <c r="L52" s="38">
        <v>0.81654486396844794</v>
      </c>
      <c r="M52" s="34"/>
      <c r="N52" s="34" t="s">
        <v>69</v>
      </c>
      <c r="O52" s="36">
        <v>13.110618083502576</v>
      </c>
      <c r="P52" s="36">
        <v>3.9213917656053434</v>
      </c>
      <c r="Q52" s="36">
        <v>14.078680962981588</v>
      </c>
      <c r="R52" s="37">
        <v>1.8034470901969435</v>
      </c>
      <c r="S52" s="37">
        <v>2.4742114711557521</v>
      </c>
      <c r="T52" s="37">
        <v>8.063914645812492</v>
      </c>
      <c r="U52" s="31"/>
      <c r="W52" t="s">
        <v>75</v>
      </c>
      <c r="X52" s="47">
        <v>1913363.5287283089</v>
      </c>
      <c r="Y52" s="47">
        <v>7714165.332759859</v>
      </c>
      <c r="Z52" s="47">
        <v>10694791.028177308</v>
      </c>
      <c r="AA52" s="47">
        <v>3891506.8904882753</v>
      </c>
      <c r="AB52" s="47">
        <v>1613060.9951264558</v>
      </c>
      <c r="AC52" s="47">
        <v>9988169.3181854114</v>
      </c>
      <c r="AE52" s="13">
        <f t="shared" si="2"/>
        <v>1913.3635287283089</v>
      </c>
      <c r="AF52" s="13">
        <f t="shared" si="3"/>
        <v>7714.1653327598588</v>
      </c>
      <c r="AG52" s="13">
        <f t="shared" si="4"/>
        <v>10694.791028177307</v>
      </c>
      <c r="AH52" s="13">
        <f t="shared" si="5"/>
        <v>3891.5068904882755</v>
      </c>
      <c r="AI52" s="13">
        <f t="shared" si="6"/>
        <v>1613.0609951264557</v>
      </c>
      <c r="AJ52" s="13">
        <f t="shared" si="7"/>
        <v>9988.1693181854116</v>
      </c>
      <c r="AL52" t="s">
        <v>75</v>
      </c>
      <c r="AM52" s="13">
        <v>2141.5220694654695</v>
      </c>
      <c r="AN52" s="13">
        <v>8890.5613186899791</v>
      </c>
      <c r="AO52" s="13">
        <v>7599.879667395975</v>
      </c>
      <c r="AP52" s="13">
        <v>3316.835528465037</v>
      </c>
      <c r="AQ52" s="13">
        <v>1903.5751728581949</v>
      </c>
      <c r="AR52" s="13">
        <v>7361.9327707886996</v>
      </c>
      <c r="AT52" t="s">
        <v>75</v>
      </c>
      <c r="AU52" s="49">
        <f>AE52/AM52</f>
        <v>0.89345963602695455</v>
      </c>
      <c r="AV52" s="49">
        <f t="shared" ref="AV52:AZ52" si="8">AF52/AN52</f>
        <v>0.86768034730753518</v>
      </c>
      <c r="AW52" s="49">
        <f t="shared" si="8"/>
        <v>1.4072316268451883</v>
      </c>
      <c r="AX52" s="49">
        <f t="shared" si="8"/>
        <v>1.1732589261937822</v>
      </c>
      <c r="AY52" s="49">
        <f t="shared" si="8"/>
        <v>0.84738497230160037</v>
      </c>
      <c r="AZ52" s="49">
        <f t="shared" si="8"/>
        <v>1.356731938359627</v>
      </c>
    </row>
    <row r="53" spans="6:52" ht="15.75" x14ac:dyDescent="0.25">
      <c r="F53" s="35" t="s">
        <v>10</v>
      </c>
      <c r="G53" s="38">
        <v>0.29938478531127261</v>
      </c>
      <c r="H53" s="38">
        <v>1.2429004723528589</v>
      </c>
      <c r="I53" s="38">
        <v>1.0624631775019573</v>
      </c>
      <c r="J53" s="38">
        <v>0.46369360687941213</v>
      </c>
      <c r="K53" s="38">
        <v>0.26611980916557565</v>
      </c>
      <c r="L53" s="38">
        <v>1.0291982013562602</v>
      </c>
      <c r="M53" s="34"/>
      <c r="N53" s="34" t="s">
        <v>165</v>
      </c>
      <c r="O53" s="34">
        <v>1.014</v>
      </c>
      <c r="P53" s="34">
        <v>1.085</v>
      </c>
      <c r="Q53" s="34">
        <v>1.073</v>
      </c>
      <c r="R53" s="31">
        <v>1.0920000000000001</v>
      </c>
      <c r="S53" s="31">
        <v>1.181</v>
      </c>
      <c r="T53" s="31">
        <v>1.147</v>
      </c>
      <c r="U53" s="31"/>
      <c r="W53" t="s">
        <v>18</v>
      </c>
      <c r="X53" s="47">
        <v>1400.9075041889419</v>
      </c>
      <c r="Y53" s="47">
        <v>3173.7936136802377</v>
      </c>
      <c r="Z53" s="47">
        <v>3949.0544437785438</v>
      </c>
      <c r="AA53" s="47">
        <v>704.0633226958854</v>
      </c>
      <c r="AB53" s="47">
        <v>558.59301763083056</v>
      </c>
      <c r="AC53" s="47">
        <v>6390.0631455245166</v>
      </c>
      <c r="AE53" s="28">
        <f t="shared" si="2"/>
        <v>1.4009075041889418</v>
      </c>
      <c r="AF53" s="28">
        <f t="shared" si="3"/>
        <v>3.1737936136802376</v>
      </c>
      <c r="AG53" s="28">
        <f t="shared" si="4"/>
        <v>3.949054443778544</v>
      </c>
      <c r="AH53" s="28">
        <f t="shared" si="5"/>
        <v>0.70406332269588545</v>
      </c>
      <c r="AI53" s="28">
        <f t="shared" si="6"/>
        <v>0.55859301763083058</v>
      </c>
      <c r="AJ53" s="28">
        <f t="shared" si="7"/>
        <v>6.3900631455245165</v>
      </c>
      <c r="AL53"/>
      <c r="AM53"/>
      <c r="AN53"/>
      <c r="AO53"/>
      <c r="AP53"/>
      <c r="AQ53"/>
      <c r="AR53"/>
      <c r="AT53"/>
      <c r="AU53" s="49"/>
      <c r="AV53" s="49"/>
      <c r="AW53" s="49"/>
      <c r="AX53" s="49"/>
      <c r="AY53" s="49"/>
      <c r="AZ53" s="49"/>
    </row>
    <row r="54" spans="6:52" ht="17.25" x14ac:dyDescent="0.3">
      <c r="F54" s="35" t="s">
        <v>11</v>
      </c>
      <c r="G54" s="38">
        <v>4.1410934563130901</v>
      </c>
      <c r="H54" s="38">
        <v>2.5210130467121044</v>
      </c>
      <c r="I54" s="38">
        <v>2.8503965766062365</v>
      </c>
      <c r="J54" s="38">
        <v>2.2171936116754272</v>
      </c>
      <c r="K54" s="38">
        <v>0.93112299346191996</v>
      </c>
      <c r="L54" s="38">
        <v>1.9763011793647931</v>
      </c>
      <c r="M54" s="34"/>
      <c r="N54" s="34"/>
      <c r="O54" s="34"/>
      <c r="P54" s="34"/>
      <c r="Q54" s="34"/>
      <c r="R54" s="31"/>
      <c r="S54" s="31"/>
      <c r="T54" s="31"/>
      <c r="U54" s="31"/>
      <c r="W54" t="s">
        <v>76</v>
      </c>
      <c r="X54" s="47">
        <v>507048.46995112638</v>
      </c>
      <c r="Y54" s="47">
        <v>2025143.1082155211</v>
      </c>
      <c r="Z54" s="47">
        <v>2488861.1081250808</v>
      </c>
      <c r="AA54" s="47">
        <v>307761.13016674656</v>
      </c>
      <c r="AB54" s="47">
        <v>255357.0779081042</v>
      </c>
      <c r="AC54" s="47">
        <v>5156240.5517581273</v>
      </c>
      <c r="AE54" s="13">
        <f t="shared" si="2"/>
        <v>507.04846995112638</v>
      </c>
      <c r="AF54" s="13">
        <f t="shared" si="3"/>
        <v>2025.1431082155211</v>
      </c>
      <c r="AG54" s="13">
        <f t="shared" si="4"/>
        <v>2488.861108125081</v>
      </c>
      <c r="AH54" s="13">
        <f t="shared" si="5"/>
        <v>307.76113016674657</v>
      </c>
      <c r="AI54" s="13">
        <f t="shared" si="6"/>
        <v>255.3570779081042</v>
      </c>
      <c r="AJ54" s="13">
        <f t="shared" si="7"/>
        <v>5156.2405517581274</v>
      </c>
      <c r="AL54" t="s">
        <v>76</v>
      </c>
      <c r="AM54" s="13">
        <v>2356.3347163003405</v>
      </c>
      <c r="AN54" s="13">
        <v>1382.5433284415262</v>
      </c>
      <c r="AO54" s="13">
        <v>1725.1736315770345</v>
      </c>
      <c r="AP54" s="13">
        <v>480.88463597966131</v>
      </c>
      <c r="AQ54" s="13">
        <v>559.0283893263562</v>
      </c>
      <c r="AR54" s="13">
        <v>2801.1530045815271</v>
      </c>
      <c r="AT54" t="s">
        <v>76</v>
      </c>
      <c r="AU54" s="49">
        <f t="shared" ref="AU54:AU97" si="9">AE54/AM54</f>
        <v>0.21518524785274926</v>
      </c>
      <c r="AV54" s="49">
        <f t="shared" ref="AV54:AV97" si="10">AF54/AN54</f>
        <v>1.4647954002992198</v>
      </c>
      <c r="AW54" s="49">
        <f t="shared" ref="AW54:AW96" si="11">AG54/AO54</f>
        <v>1.442672820039532</v>
      </c>
      <c r="AX54" s="49">
        <f t="shared" ref="AX54:AX96" si="12">AH54/AP54</f>
        <v>0.63998952584495361</v>
      </c>
      <c r="AY54" s="49">
        <f t="shared" ref="AY54:AY97" si="13">AI54/AQ54</f>
        <v>0.4567873166795986</v>
      </c>
      <c r="AZ54" s="49">
        <f t="shared" ref="AZ54:AZ97" si="14">AJ54/AR54</f>
        <v>1.8407564825358171</v>
      </c>
    </row>
    <row r="55" spans="6:52" ht="17.25" x14ac:dyDescent="0.3">
      <c r="F55" s="35" t="s">
        <v>12</v>
      </c>
      <c r="G55" s="38">
        <v>4.7937965530851701</v>
      </c>
      <c r="H55" s="38">
        <v>5.7697241366924077</v>
      </c>
      <c r="I55" s="38">
        <v>5.8596263479635837</v>
      </c>
      <c r="J55" s="38">
        <v>6.3480950292036447</v>
      </c>
      <c r="K55" s="38">
        <v>1.7500963794122399</v>
      </c>
      <c r="L55" s="38">
        <v>3.5411916722830501</v>
      </c>
      <c r="M55" s="34"/>
      <c r="N55" s="34"/>
      <c r="O55" s="34"/>
      <c r="P55" s="34"/>
      <c r="Q55" s="34"/>
      <c r="R55" s="31"/>
      <c r="S55" s="31"/>
      <c r="T55" s="31"/>
      <c r="U55" s="31"/>
      <c r="W55" t="s">
        <v>20</v>
      </c>
      <c r="X55" s="47">
        <v>1873.740036991672</v>
      </c>
      <c r="Y55" s="47">
        <v>29494.175844848392</v>
      </c>
      <c r="Z55" s="47">
        <v>17317.22250939635</v>
      </c>
      <c r="AA55" s="47">
        <v>3258.0426212125085</v>
      </c>
      <c r="AB55" s="47">
        <v>2814.7424580942638</v>
      </c>
      <c r="AC55" s="47">
        <v>68097.858676105476</v>
      </c>
      <c r="AE55" s="28">
        <f t="shared" si="2"/>
        <v>1.8737400369916721</v>
      </c>
      <c r="AF55" s="28">
        <f t="shared" si="3"/>
        <v>29.494175844848392</v>
      </c>
      <c r="AG55" s="28">
        <f t="shared" si="4"/>
        <v>17.317222509396352</v>
      </c>
      <c r="AH55" s="28">
        <f t="shared" si="5"/>
        <v>3.2580426212125086</v>
      </c>
      <c r="AI55" s="28">
        <f t="shared" si="6"/>
        <v>2.8147424580942637</v>
      </c>
      <c r="AJ55" s="28">
        <f t="shared" si="7"/>
        <v>68.097858676105474</v>
      </c>
      <c r="AL55" t="s">
        <v>20</v>
      </c>
      <c r="AM55" s="20">
        <v>6.0054725270196077</v>
      </c>
      <c r="AN55" s="20">
        <v>13.537760103281489</v>
      </c>
      <c r="AO55" s="58">
        <v>3.3589931083330002</v>
      </c>
      <c r="AP55" s="20">
        <v>4.5804451477268193</v>
      </c>
      <c r="AQ55" s="20">
        <v>4.4786574777773343</v>
      </c>
      <c r="AR55" s="20">
        <v>32.266691373986703</v>
      </c>
      <c r="AT55" t="s">
        <v>20</v>
      </c>
      <c r="AU55" s="49">
        <f t="shared" si="9"/>
        <v>0.31200542980779744</v>
      </c>
      <c r="AV55" s="49">
        <f t="shared" si="10"/>
        <v>2.1786599570263578</v>
      </c>
      <c r="AW55" s="49">
        <f t="shared" si="11"/>
        <v>5.1554802141259932</v>
      </c>
      <c r="AX55" s="49">
        <f t="shared" si="12"/>
        <v>0.71129388435737695</v>
      </c>
      <c r="AY55" s="49">
        <f t="shared" si="13"/>
        <v>0.62847906366154227</v>
      </c>
      <c r="AZ55" s="49">
        <f t="shared" si="14"/>
        <v>2.1104692107045637</v>
      </c>
    </row>
    <row r="56" spans="6:52" ht="17.25" x14ac:dyDescent="0.3">
      <c r="F56" s="35" t="s">
        <v>13</v>
      </c>
      <c r="G56" s="38">
        <v>8.9347862847939372E-2</v>
      </c>
      <c r="H56" s="38">
        <v>4.7599305401787903E-2</v>
      </c>
      <c r="I56" s="38">
        <v>8.4885427966521751E-2</v>
      </c>
      <c r="J56" s="38">
        <v>3.5104487733818579E-2</v>
      </c>
      <c r="K56" s="38">
        <v>1.7453078647322231E-2</v>
      </c>
      <c r="L56" s="38">
        <v>2.6377948410157458E-2</v>
      </c>
      <c r="M56" s="34"/>
      <c r="N56" s="34"/>
      <c r="O56" s="34"/>
      <c r="P56" s="34"/>
      <c r="Q56" s="34"/>
      <c r="R56" s="31"/>
      <c r="S56" s="31"/>
      <c r="T56" s="31"/>
      <c r="U56" s="31"/>
      <c r="W56" t="s">
        <v>21</v>
      </c>
      <c r="X56" s="47">
        <v>1872.1135819023268</v>
      </c>
      <c r="Y56" s="47">
        <v>1879.3661481061197</v>
      </c>
      <c r="Z56" s="47">
        <v>5294.2586556063743</v>
      </c>
      <c r="AA56" s="47">
        <v>4969.9010556089452</v>
      </c>
      <c r="AB56" s="47">
        <v>1708.5279553572882</v>
      </c>
      <c r="AC56" s="47">
        <v>163624.89194715556</v>
      </c>
      <c r="AE56" s="28">
        <f t="shared" si="2"/>
        <v>1.8721135819023269</v>
      </c>
      <c r="AF56" s="28">
        <f t="shared" si="3"/>
        <v>1.8793661481061197</v>
      </c>
      <c r="AG56" s="28">
        <f t="shared" si="4"/>
        <v>5.2942586556063747</v>
      </c>
      <c r="AH56" s="28">
        <f t="shared" si="5"/>
        <v>4.9699010556089451</v>
      </c>
      <c r="AI56" s="28">
        <f t="shared" si="6"/>
        <v>1.7085279553572883</v>
      </c>
      <c r="AJ56" s="28">
        <f t="shared" si="7"/>
        <v>163.62489194715556</v>
      </c>
      <c r="AL56" t="s">
        <v>21</v>
      </c>
      <c r="AM56" s="20">
        <v>4.1429600441731642</v>
      </c>
      <c r="AN56" s="20">
        <v>2.2687638337138751</v>
      </c>
      <c r="AO56"/>
      <c r="AP56" s="20">
        <v>7.5954267476508006</v>
      </c>
      <c r="AQ56" s="20">
        <v>2.564689551154816</v>
      </c>
      <c r="AR56" s="20">
        <v>75.46105794743977</v>
      </c>
      <c r="AT56" t="s">
        <v>21</v>
      </c>
      <c r="AU56" s="49">
        <f t="shared" si="9"/>
        <v>0.45187826142213156</v>
      </c>
      <c r="AV56" s="49">
        <f t="shared" si="10"/>
        <v>0.82836570302236923</v>
      </c>
      <c r="AW56" s="49"/>
      <c r="AX56" s="49">
        <f t="shared" si="12"/>
        <v>0.65432808724619618</v>
      </c>
      <c r="AY56" s="49">
        <f t="shared" si="13"/>
        <v>0.66617339887706117</v>
      </c>
      <c r="AZ56" s="49">
        <f t="shared" si="14"/>
        <v>2.1683355150032986</v>
      </c>
    </row>
    <row r="57" spans="6:52" ht="15.75" x14ac:dyDescent="0.25">
      <c r="F57" s="35" t="s">
        <v>61</v>
      </c>
      <c r="G57" s="38"/>
      <c r="H57" s="38">
        <v>0.11763166965438634</v>
      </c>
      <c r="I57" s="38"/>
      <c r="J57" s="39">
        <v>0.1110442961537407</v>
      </c>
      <c r="K57" s="38"/>
      <c r="L57" s="38"/>
      <c r="M57" s="34"/>
      <c r="N57" s="34"/>
      <c r="O57" s="34"/>
      <c r="P57" s="34"/>
      <c r="Q57" s="34"/>
      <c r="R57" s="31"/>
      <c r="S57" s="31"/>
      <c r="T57" s="31"/>
      <c r="U57" s="31"/>
      <c r="W57" t="s">
        <v>77</v>
      </c>
      <c r="X57" s="47">
        <v>950.14164989558742</v>
      </c>
      <c r="Y57" s="47">
        <v>3186.8380976625003</v>
      </c>
      <c r="Z57" s="47">
        <v>3525.4382841714146</v>
      </c>
      <c r="AA57" s="47">
        <v>597.7327195646825</v>
      </c>
      <c r="AB57" s="47">
        <v>619.05314365880577</v>
      </c>
      <c r="AC57" s="47">
        <v>13629.561043894008</v>
      </c>
      <c r="AE57" s="28">
        <f t="shared" si="2"/>
        <v>0.95014164989558747</v>
      </c>
      <c r="AF57" s="28">
        <f t="shared" si="3"/>
        <v>3.1868380976625006</v>
      </c>
      <c r="AG57" s="28">
        <f t="shared" si="4"/>
        <v>3.5254382841714147</v>
      </c>
      <c r="AH57" s="28">
        <f t="shared" si="5"/>
        <v>0.59773271956468255</v>
      </c>
      <c r="AI57" s="28">
        <f t="shared" si="6"/>
        <v>0.61905314365880582</v>
      </c>
      <c r="AJ57" s="28">
        <f t="shared" si="7"/>
        <v>13.629561043894007</v>
      </c>
      <c r="AL57"/>
      <c r="AT57"/>
      <c r="AU57" s="49"/>
      <c r="AV57" s="49"/>
      <c r="AW57" s="49"/>
      <c r="AX57" s="49"/>
      <c r="AY57" s="49"/>
      <c r="AZ57" s="49"/>
    </row>
    <row r="58" spans="6:52" ht="15.75" x14ac:dyDescent="0.25">
      <c r="F58" s="42" t="s">
        <v>14</v>
      </c>
      <c r="G58" s="43">
        <v>0.78313302567394638</v>
      </c>
      <c r="H58" s="43">
        <v>1.0170057799605916</v>
      </c>
      <c r="I58" s="43">
        <v>1.152066972450138</v>
      </c>
      <c r="J58" s="43">
        <v>1.0178577411464864</v>
      </c>
      <c r="K58" s="43">
        <v>0.88113632488981286</v>
      </c>
      <c r="L58" s="43">
        <v>1.6532577665238315</v>
      </c>
      <c r="M58" s="34"/>
      <c r="N58" s="34"/>
      <c r="O58" s="34"/>
      <c r="P58" s="34"/>
      <c r="Q58" s="34"/>
      <c r="R58" s="31"/>
      <c r="S58" s="31"/>
      <c r="T58" s="31"/>
      <c r="U58" s="31"/>
      <c r="W58" t="s">
        <v>22</v>
      </c>
      <c r="X58" s="47">
        <v>3927.6191061521486</v>
      </c>
      <c r="Y58" s="47">
        <v>2156.3974724997211</v>
      </c>
      <c r="Z58" s="47">
        <v>17581.189409172162</v>
      </c>
      <c r="AA58" s="47">
        <v>2170.4666923120267</v>
      </c>
      <c r="AB58" s="47">
        <v>1760.627082603906</v>
      </c>
      <c r="AC58" s="47">
        <v>31523.460170261875</v>
      </c>
      <c r="AE58" s="28">
        <f t="shared" si="2"/>
        <v>3.9276191061521488</v>
      </c>
      <c r="AF58" s="28">
        <f t="shared" si="3"/>
        <v>2.1563974724997212</v>
      </c>
      <c r="AG58" s="28">
        <f t="shared" si="4"/>
        <v>17.581189409172161</v>
      </c>
      <c r="AH58" s="28">
        <f t="shared" si="5"/>
        <v>2.1704666923120266</v>
      </c>
      <c r="AI58" s="28">
        <f t="shared" si="6"/>
        <v>1.7606270826039061</v>
      </c>
      <c r="AJ58" s="28">
        <f t="shared" si="7"/>
        <v>31.523460170261874</v>
      </c>
      <c r="AL58" t="s">
        <v>22</v>
      </c>
      <c r="AM58" s="20">
        <v>6.0862324194625721</v>
      </c>
      <c r="AN58" s="20"/>
      <c r="AO58" s="58">
        <v>11.958912824207159</v>
      </c>
      <c r="AP58" s="20">
        <v>2.4558481692568273</v>
      </c>
      <c r="AQ58" s="20">
        <v>2.2422961545388427</v>
      </c>
      <c r="AR58" s="20">
        <v>16.550281140643836</v>
      </c>
      <c r="AT58" t="s">
        <v>22</v>
      </c>
      <c r="AU58" s="49">
        <f t="shared" si="9"/>
        <v>0.64532847835261709</v>
      </c>
      <c r="AV58" s="49"/>
      <c r="AW58" s="49">
        <f t="shared" si="11"/>
        <v>1.4701327509959285</v>
      </c>
      <c r="AX58" s="49">
        <f t="shared" si="12"/>
        <v>0.88379514641120471</v>
      </c>
      <c r="AY58" s="49">
        <f t="shared" si="13"/>
        <v>0.78518936004062401</v>
      </c>
      <c r="AZ58" s="49">
        <f t="shared" si="14"/>
        <v>1.9047084398371468</v>
      </c>
    </row>
    <row r="59" spans="6:52" ht="15.75" x14ac:dyDescent="0.25">
      <c r="F59" s="35" t="s">
        <v>17</v>
      </c>
      <c r="G59" s="39">
        <f t="shared" ref="G59:L59" si="15">SUM(G47:G58)</f>
        <v>99.627953626837453</v>
      </c>
      <c r="H59" s="39">
        <f t="shared" si="15"/>
        <v>99.71891002982737</v>
      </c>
      <c r="I59" s="39">
        <f t="shared" si="15"/>
        <v>99.452635153921719</v>
      </c>
      <c r="J59" s="39">
        <f t="shared" si="15"/>
        <v>99.611998974372597</v>
      </c>
      <c r="K59" s="39">
        <f t="shared" si="15"/>
        <v>99.802046327873725</v>
      </c>
      <c r="L59" s="39">
        <f t="shared" si="15"/>
        <v>99.773855036062244</v>
      </c>
      <c r="M59" s="34"/>
      <c r="N59" s="34"/>
      <c r="O59" s="34"/>
      <c r="P59" s="34"/>
      <c r="Q59" s="34"/>
      <c r="R59" s="31"/>
      <c r="S59" s="31"/>
      <c r="T59" s="31"/>
      <c r="U59" s="31"/>
      <c r="W59" t="s">
        <v>23</v>
      </c>
      <c r="X59" s="47">
        <v>4269.5534653870363</v>
      </c>
      <c r="Y59" s="47">
        <v>2437.1439252404793</v>
      </c>
      <c r="Z59" s="47">
        <v>3200.7412139905196</v>
      </c>
      <c r="AA59" s="47">
        <v>1852.6848900267171</v>
      </c>
      <c r="AB59" s="47">
        <v>1083.0575930947543</v>
      </c>
      <c r="AC59" s="47">
        <v>6443.161095906702</v>
      </c>
      <c r="AD59"/>
      <c r="AE59" s="28">
        <f t="shared" si="2"/>
        <v>4.2695534653870366</v>
      </c>
      <c r="AF59" s="28">
        <f t="shared" si="3"/>
        <v>2.4371439252404792</v>
      </c>
      <c r="AG59" s="28">
        <f t="shared" si="4"/>
        <v>3.2007412139905198</v>
      </c>
      <c r="AH59" s="28">
        <f t="shared" si="5"/>
        <v>1.8526848900267172</v>
      </c>
      <c r="AI59" s="28">
        <f t="shared" si="6"/>
        <v>1.0830575930947544</v>
      </c>
      <c r="AJ59" s="28">
        <f t="shared" si="7"/>
        <v>6.4431610959067021</v>
      </c>
      <c r="AL59" t="s">
        <v>23</v>
      </c>
      <c r="AM59" s="20">
        <v>4.8490352715674252</v>
      </c>
      <c r="AN59" s="20">
        <v>2.3473993159173796</v>
      </c>
      <c r="AO59" s="58">
        <v>1.9123321931956325</v>
      </c>
      <c r="AP59" s="20">
        <v>3.5438339034021835</v>
      </c>
      <c r="AQ59" s="20">
        <v>1.1509647284325752</v>
      </c>
      <c r="AR59" s="20">
        <v>5.0665688329282981</v>
      </c>
      <c r="AT59" t="s">
        <v>23</v>
      </c>
      <c r="AU59" s="49">
        <f t="shared" si="9"/>
        <v>0.88049544420140413</v>
      </c>
      <c r="AV59" s="49">
        <f t="shared" si="10"/>
        <v>1.0382315052724751</v>
      </c>
      <c r="AW59" s="49">
        <f t="shared" si="11"/>
        <v>1.6737370344855573</v>
      </c>
      <c r="AX59" s="49">
        <f t="shared" si="12"/>
        <v>0.5227911184686409</v>
      </c>
      <c r="AY59" s="49">
        <f t="shared" si="13"/>
        <v>0.9409998120183064</v>
      </c>
      <c r="AZ59" s="49">
        <f t="shared" si="14"/>
        <v>1.2717010877325399</v>
      </c>
    </row>
    <row r="60" spans="6:52" ht="15.75" x14ac:dyDescent="0.25">
      <c r="F60" s="35" t="s">
        <v>16</v>
      </c>
      <c r="G60" s="31" t="s">
        <v>64</v>
      </c>
      <c r="H60" s="31" t="s">
        <v>64</v>
      </c>
      <c r="I60" s="31" t="s">
        <v>64</v>
      </c>
      <c r="J60" s="31" t="s">
        <v>64</v>
      </c>
      <c r="K60" s="31" t="s">
        <v>64</v>
      </c>
      <c r="L60" s="31" t="s">
        <v>64</v>
      </c>
      <c r="M60" s="34"/>
      <c r="N60" s="34"/>
      <c r="O60" s="34"/>
      <c r="P60" s="34"/>
      <c r="Q60" s="34"/>
      <c r="R60" s="31"/>
      <c r="S60" s="31"/>
      <c r="T60" s="31"/>
      <c r="U60" s="31"/>
      <c r="W60" t="s">
        <v>24</v>
      </c>
      <c r="X60" s="47">
        <v>26645.188028321794</v>
      </c>
      <c r="Y60" s="47">
        <v>39632.84177933172</v>
      </c>
      <c r="Z60" s="47">
        <v>81898.530841909786</v>
      </c>
      <c r="AA60" s="47">
        <v>8590.7054657545577</v>
      </c>
      <c r="AB60" s="47">
        <v>7219.2287652751011</v>
      </c>
      <c r="AC60" s="47">
        <v>77562.820652199094</v>
      </c>
      <c r="AD60"/>
      <c r="AE60" s="28">
        <f t="shared" si="2"/>
        <v>26.645188028321794</v>
      </c>
      <c r="AF60" s="28">
        <f t="shared" si="3"/>
        <v>39.63284177933172</v>
      </c>
      <c r="AG60" s="28">
        <f t="shared" si="4"/>
        <v>81.898530841909789</v>
      </c>
      <c r="AH60" s="28">
        <f t="shared" si="5"/>
        <v>8.5907054657545583</v>
      </c>
      <c r="AI60" s="28">
        <f t="shared" si="6"/>
        <v>7.2192287652751013</v>
      </c>
      <c r="AJ60" s="28">
        <f t="shared" si="7"/>
        <v>77.562820652199093</v>
      </c>
      <c r="AL60" t="s">
        <v>24</v>
      </c>
      <c r="AM60" s="20">
        <v>82.618594668228468</v>
      </c>
      <c r="AN60" s="20">
        <v>25.436759442188567</v>
      </c>
      <c r="AO60" s="20">
        <v>55.146894470664812</v>
      </c>
      <c r="AP60" s="20">
        <v>11.904403418944248</v>
      </c>
      <c r="AQ60" s="20">
        <v>13.735850098781826</v>
      </c>
      <c r="AR60" s="20">
        <v>44.565202542714367</v>
      </c>
      <c r="AT60" t="s">
        <v>24</v>
      </c>
      <c r="AU60" s="49">
        <f t="shared" si="9"/>
        <v>0.32250836673415822</v>
      </c>
      <c r="AV60" s="49">
        <f t="shared" si="10"/>
        <v>1.5580931945913676</v>
      </c>
      <c r="AW60" s="49">
        <f t="shared" si="11"/>
        <v>1.4850977852519949</v>
      </c>
      <c r="AX60" s="49">
        <f t="shared" si="12"/>
        <v>0.72164098976044544</v>
      </c>
      <c r="AY60" s="49">
        <f t="shared" si="13"/>
        <v>0.52557568067194793</v>
      </c>
      <c r="AZ60" s="49">
        <f t="shared" si="14"/>
        <v>1.7404346042825123</v>
      </c>
    </row>
    <row r="61" spans="6:52" x14ac:dyDescent="0.25">
      <c r="F61" s="31"/>
      <c r="G61" s="31"/>
      <c r="H61" s="31"/>
      <c r="I61" s="31"/>
      <c r="J61" s="31"/>
      <c r="K61" s="31"/>
      <c r="L61" s="31"/>
      <c r="M61" s="34"/>
      <c r="N61" s="34"/>
      <c r="O61" s="34"/>
      <c r="P61" s="34"/>
      <c r="Q61" s="34"/>
      <c r="R61" s="31"/>
      <c r="S61" s="31"/>
      <c r="T61" s="31"/>
      <c r="U61" s="31"/>
      <c r="W61" t="s">
        <v>25</v>
      </c>
      <c r="X61" s="47">
        <v>21696.182937305002</v>
      </c>
      <c r="Y61" s="47">
        <v>15417.596129526655</v>
      </c>
      <c r="Z61" s="47">
        <v>19105.548645148509</v>
      </c>
      <c r="AA61" s="47">
        <v>12688.327931227523</v>
      </c>
      <c r="AB61" s="47">
        <v>2478.946548224566</v>
      </c>
      <c r="AC61" s="47">
        <v>22014.64376739139</v>
      </c>
      <c r="AE61" s="28">
        <f t="shared" si="2"/>
        <v>21.696182937305004</v>
      </c>
      <c r="AF61" s="28">
        <f t="shared" si="3"/>
        <v>15.417596129526656</v>
      </c>
      <c r="AG61" s="28">
        <f t="shared" si="4"/>
        <v>19.105548645148509</v>
      </c>
      <c r="AH61" s="28">
        <f t="shared" si="5"/>
        <v>12.688327931227523</v>
      </c>
      <c r="AI61" s="28">
        <f t="shared" si="6"/>
        <v>2.4789465482245658</v>
      </c>
      <c r="AJ61" s="28">
        <f t="shared" si="7"/>
        <v>22.014643767391391</v>
      </c>
      <c r="AL61" t="s">
        <v>25</v>
      </c>
      <c r="AM61" s="20">
        <v>20.404640975429292</v>
      </c>
      <c r="AN61" s="20">
        <v>15.227344011514395</v>
      </c>
      <c r="AO61" s="20">
        <v>24.972844178883609</v>
      </c>
      <c r="AP61" s="20">
        <v>11.572781448750941</v>
      </c>
      <c r="AQ61" s="20">
        <v>5.1772969639148938</v>
      </c>
      <c r="AR61" s="20">
        <v>15.328859638257825</v>
      </c>
      <c r="AT61" t="s">
        <v>25</v>
      </c>
      <c r="AU61" s="49">
        <f t="shared" si="9"/>
        <v>1.0632964806110017</v>
      </c>
      <c r="AV61" s="49">
        <f t="shared" si="10"/>
        <v>1.0124941104547449</v>
      </c>
      <c r="AW61" s="49">
        <f t="shared" si="11"/>
        <v>0.76505297147145412</v>
      </c>
      <c r="AX61" s="49">
        <f t="shared" si="12"/>
        <v>1.0963939816384403</v>
      </c>
      <c r="AY61" s="49">
        <f t="shared" si="13"/>
        <v>0.47881096361721381</v>
      </c>
      <c r="AZ61" s="49">
        <f t="shared" si="14"/>
        <v>1.4361566539788231</v>
      </c>
    </row>
    <row r="62" spans="6:52" ht="15.75" x14ac:dyDescent="0.25">
      <c r="F62" s="61" t="s">
        <v>18</v>
      </c>
      <c r="G62" s="38" t="s">
        <v>62</v>
      </c>
      <c r="H62" s="36">
        <v>2.9357103221568117</v>
      </c>
      <c r="I62" s="44">
        <v>2.733247541318411</v>
      </c>
      <c r="J62" s="38" t="s">
        <v>62</v>
      </c>
      <c r="K62" s="38" t="s">
        <v>62</v>
      </c>
      <c r="L62" s="36">
        <v>2.733247541318411</v>
      </c>
      <c r="M62" s="34"/>
      <c r="N62" s="34"/>
      <c r="O62" s="34"/>
      <c r="P62" s="34"/>
      <c r="Q62" s="34"/>
      <c r="R62" s="31"/>
      <c r="S62" s="31"/>
      <c r="T62" s="31"/>
      <c r="U62" s="31"/>
      <c r="W62" t="s">
        <v>26</v>
      </c>
      <c r="X62" s="47">
        <v>369.87942069518783</v>
      </c>
      <c r="Y62" s="47">
        <v>217.83786174372125</v>
      </c>
      <c r="Z62" s="47">
        <v>1478.4924672266475</v>
      </c>
      <c r="AA62" s="47">
        <v>175.46997782589924</v>
      </c>
      <c r="AB62" s="47">
        <v>76.564719159016605</v>
      </c>
      <c r="AC62" s="47">
        <v>150.22185543742452</v>
      </c>
      <c r="AE62" s="28">
        <f t="shared" si="2"/>
        <v>0.36987942069518787</v>
      </c>
      <c r="AF62" s="28">
        <f t="shared" si="3"/>
        <v>0.21783786174372125</v>
      </c>
      <c r="AG62" s="28">
        <f t="shared" si="4"/>
        <v>1.4784924672266475</v>
      </c>
      <c r="AH62" s="28">
        <f t="shared" si="5"/>
        <v>0.17546997782589924</v>
      </c>
      <c r="AI62" s="28">
        <f t="shared" si="6"/>
        <v>7.6564719159016609E-2</v>
      </c>
      <c r="AJ62" s="28">
        <f t="shared" si="7"/>
        <v>0.15022185543742453</v>
      </c>
      <c r="AL62"/>
      <c r="AM62"/>
      <c r="AN62"/>
      <c r="AO62"/>
      <c r="AP62"/>
      <c r="AQ62"/>
      <c r="AR62"/>
      <c r="AT62"/>
      <c r="AU62" s="49"/>
      <c r="AV62" s="49"/>
      <c r="AW62" s="49"/>
      <c r="AX62" s="49"/>
      <c r="AY62" s="49"/>
      <c r="AZ62" s="49"/>
    </row>
    <row r="63" spans="6:52" ht="15.75" x14ac:dyDescent="0.25">
      <c r="F63" s="61" t="s">
        <v>19</v>
      </c>
      <c r="G63" s="45">
        <v>835.70657417229506</v>
      </c>
      <c r="H63" s="45">
        <v>1200</v>
      </c>
      <c r="I63" s="45">
        <v>453.13649476846581</v>
      </c>
      <c r="J63" s="45">
        <v>1100</v>
      </c>
      <c r="K63" s="40">
        <v>212.58255310125557</v>
      </c>
      <c r="L63" s="40">
        <v>644.42153447038049</v>
      </c>
      <c r="M63" s="34"/>
      <c r="N63" s="34"/>
      <c r="O63" s="34"/>
      <c r="P63" s="34"/>
      <c r="Q63" s="34"/>
      <c r="R63" s="31"/>
      <c r="S63" s="31"/>
      <c r="T63" s="31"/>
      <c r="U63" s="31"/>
      <c r="W63" t="s">
        <v>27</v>
      </c>
      <c r="X63" s="62">
        <v>134480.19753522467</v>
      </c>
      <c r="Y63" s="62">
        <v>228109.59300223229</v>
      </c>
      <c r="Z63" s="62">
        <v>171293.1160769203</v>
      </c>
      <c r="AA63" s="62">
        <v>409499.7059974221</v>
      </c>
      <c r="AB63" s="62">
        <v>123264.65483069225</v>
      </c>
      <c r="AC63" s="62">
        <v>315913.40073288628</v>
      </c>
      <c r="AE63" s="28">
        <f t="shared" si="2"/>
        <v>134.48019753522468</v>
      </c>
      <c r="AF63" s="28">
        <f t="shared" si="3"/>
        <v>228.10959300223229</v>
      </c>
      <c r="AG63" s="28">
        <f t="shared" si="4"/>
        <v>171.29311607692031</v>
      </c>
      <c r="AH63" s="28">
        <f t="shared" si="5"/>
        <v>409.4997059974221</v>
      </c>
      <c r="AI63" s="28">
        <f t="shared" si="6"/>
        <v>123.26465483069225</v>
      </c>
      <c r="AJ63" s="28">
        <f t="shared" si="7"/>
        <v>315.91340073288626</v>
      </c>
      <c r="AL63" t="s">
        <v>27</v>
      </c>
      <c r="AM63" s="18">
        <v>125.31926792539072</v>
      </c>
      <c r="AN63" s="18">
        <v>213.10378758416684</v>
      </c>
      <c r="AO63" s="18">
        <v>189.50470466315173</v>
      </c>
      <c r="AP63" s="18">
        <v>325.60631219900625</v>
      </c>
      <c r="AQ63" s="18">
        <v>104.26318962948497</v>
      </c>
      <c r="AR63" s="18">
        <v>218.80011794441188</v>
      </c>
      <c r="AT63" t="s">
        <v>27</v>
      </c>
      <c r="AU63" s="49">
        <f t="shared" si="9"/>
        <v>1.0731007271386868</v>
      </c>
      <c r="AV63" s="49">
        <f t="shared" si="10"/>
        <v>1.0704154796504441</v>
      </c>
      <c r="AW63" s="49">
        <f t="shared" si="11"/>
        <v>0.90389901602388778</v>
      </c>
      <c r="AX63" s="49">
        <f t="shared" si="12"/>
        <v>1.2576528484102032</v>
      </c>
      <c r="AY63" s="49">
        <f t="shared" si="13"/>
        <v>1.1822451938093574</v>
      </c>
      <c r="AZ63" s="49">
        <f t="shared" si="14"/>
        <v>1.4438447460670332</v>
      </c>
    </row>
    <row r="64" spans="6:52" ht="15.75" x14ac:dyDescent="0.25">
      <c r="F64" s="61" t="s">
        <v>20</v>
      </c>
      <c r="G64" s="36">
        <v>6.0054725270196077</v>
      </c>
      <c r="H64" s="36">
        <v>13.537760103281489</v>
      </c>
      <c r="I64" s="44">
        <v>3.3589931083330002</v>
      </c>
      <c r="J64" s="36">
        <v>4.5804451477268193</v>
      </c>
      <c r="K64" s="36">
        <v>4.4786574777773343</v>
      </c>
      <c r="L64" s="36">
        <v>32.266691373986703</v>
      </c>
      <c r="M64" s="34"/>
      <c r="N64" s="34"/>
      <c r="O64" s="34"/>
      <c r="P64" s="34"/>
      <c r="Q64" s="34"/>
      <c r="R64" s="31"/>
      <c r="S64" s="31"/>
      <c r="T64" s="31"/>
      <c r="U64" s="31"/>
      <c r="W64" t="s">
        <v>28</v>
      </c>
      <c r="X64" s="62">
        <v>47996.381946658461</v>
      </c>
      <c r="Y64" s="62">
        <v>281571.02822300891</v>
      </c>
      <c r="Z64" s="62">
        <v>77473.3710278418</v>
      </c>
      <c r="AA64" s="62">
        <v>211520.73986820635</v>
      </c>
      <c r="AB64" s="62">
        <v>69141.809598743654</v>
      </c>
      <c r="AC64" s="62">
        <v>156584.9706598162</v>
      </c>
      <c r="AE64" s="28">
        <f t="shared" si="2"/>
        <v>47.99638194665846</v>
      </c>
      <c r="AF64" s="28">
        <f t="shared" si="3"/>
        <v>281.57102822300891</v>
      </c>
      <c r="AG64" s="28">
        <f t="shared" si="4"/>
        <v>77.473371027841807</v>
      </c>
      <c r="AH64" s="28">
        <f t="shared" si="5"/>
        <v>211.52073986820636</v>
      </c>
      <c r="AI64" s="28">
        <f t="shared" si="6"/>
        <v>69.141809598743649</v>
      </c>
      <c r="AJ64" s="28">
        <f t="shared" si="7"/>
        <v>156.58497065981621</v>
      </c>
      <c r="AL64" t="s">
        <v>28</v>
      </c>
      <c r="AM64" s="20">
        <v>49.697191381283993</v>
      </c>
      <c r="AN64" s="18">
        <v>290.00007661448052</v>
      </c>
      <c r="AO64" s="20">
        <v>78.437735794556659</v>
      </c>
      <c r="AP64" s="18">
        <v>161.66556232465879</v>
      </c>
      <c r="AQ64" s="20">
        <v>58.179643725479053</v>
      </c>
      <c r="AR64" s="18">
        <v>143.90230918034442</v>
      </c>
      <c r="AT64" t="s">
        <v>28</v>
      </c>
      <c r="AU64" s="49">
        <f t="shared" si="9"/>
        <v>0.96577654818404768</v>
      </c>
      <c r="AV64" s="49">
        <f t="shared" si="10"/>
        <v>0.9709343235702762</v>
      </c>
      <c r="AW64" s="49">
        <f t="shared" si="11"/>
        <v>0.98770534670658128</v>
      </c>
      <c r="AX64" s="49">
        <f t="shared" si="12"/>
        <v>1.3083846480763033</v>
      </c>
      <c r="AY64" s="49">
        <f t="shared" si="13"/>
        <v>1.1884192678282739</v>
      </c>
      <c r="AZ64" s="49">
        <f t="shared" si="14"/>
        <v>1.0881338287878157</v>
      </c>
    </row>
    <row r="65" spans="6:52" ht="15.75" x14ac:dyDescent="0.25">
      <c r="F65" s="61" t="s">
        <v>21</v>
      </c>
      <c r="G65" s="36">
        <v>4.1429600441731642</v>
      </c>
      <c r="H65" s="36">
        <v>2.2687638337138751</v>
      </c>
      <c r="I65" s="44" t="s">
        <v>45</v>
      </c>
      <c r="J65" s="36">
        <v>7.5954267476508006</v>
      </c>
      <c r="K65" s="36">
        <v>2.564689551154816</v>
      </c>
      <c r="L65" s="36">
        <v>75.46105794743977</v>
      </c>
      <c r="M65" s="34"/>
      <c r="N65" s="34"/>
      <c r="O65" s="34"/>
      <c r="P65" s="34"/>
      <c r="Q65" s="34"/>
      <c r="R65" s="31"/>
      <c r="S65" s="31"/>
      <c r="T65" s="31"/>
      <c r="U65" s="31"/>
      <c r="W65" t="s">
        <v>29</v>
      </c>
      <c r="X65" s="47">
        <v>14038.111331613702</v>
      </c>
      <c r="Y65" s="47">
        <v>11512.870433165337</v>
      </c>
      <c r="Z65" s="47">
        <v>55991.793673074295</v>
      </c>
      <c r="AA65" s="47">
        <v>10950.375057126348</v>
      </c>
      <c r="AB65" s="47">
        <v>14018.339550592484</v>
      </c>
      <c r="AC65" s="47">
        <v>8101.4506601128178</v>
      </c>
      <c r="AE65" s="28">
        <f t="shared" si="2"/>
        <v>14.038111331613703</v>
      </c>
      <c r="AF65" s="28">
        <f t="shared" si="3"/>
        <v>11.512870433165338</v>
      </c>
      <c r="AG65" s="28">
        <f t="shared" si="4"/>
        <v>55.991793673074298</v>
      </c>
      <c r="AH65" s="28">
        <f t="shared" si="5"/>
        <v>10.950375057126349</v>
      </c>
      <c r="AI65" s="28">
        <f t="shared" si="6"/>
        <v>14.018339550592485</v>
      </c>
      <c r="AJ65" s="28">
        <f t="shared" si="7"/>
        <v>8.1014506601128176</v>
      </c>
      <c r="AL65" t="s">
        <v>29</v>
      </c>
      <c r="AM65" s="20">
        <v>51.437004745032183</v>
      </c>
      <c r="AN65" s="20">
        <v>16.061357212875663</v>
      </c>
      <c r="AO65" s="20">
        <v>43.711288617319838</v>
      </c>
      <c r="AP65" s="20">
        <v>15.858048893725336</v>
      </c>
      <c r="AQ65" s="20">
        <v>11.080303393692704</v>
      </c>
      <c r="AR65" s="20">
        <v>8.8439118830391301</v>
      </c>
      <c r="AT65" t="s">
        <v>29</v>
      </c>
      <c r="AU65" s="49">
        <f t="shared" si="9"/>
        <v>0.27291852239840059</v>
      </c>
      <c r="AV65" s="49">
        <f t="shared" si="10"/>
        <v>0.71680557754708241</v>
      </c>
      <c r="AW65" s="49">
        <f t="shared" si="11"/>
        <v>1.2809458481827627</v>
      </c>
      <c r="AX65" s="49">
        <f t="shared" si="12"/>
        <v>0.69052473797449065</v>
      </c>
      <c r="AY65" s="49">
        <f t="shared" si="13"/>
        <v>1.265158457535758</v>
      </c>
      <c r="AZ65" s="49">
        <f t="shared" si="14"/>
        <v>0.91604832423192661</v>
      </c>
    </row>
    <row r="66" spans="6:52" ht="15.75" x14ac:dyDescent="0.25">
      <c r="F66" s="61" t="s">
        <v>22</v>
      </c>
      <c r="G66" s="36">
        <v>6.0862324194625721</v>
      </c>
      <c r="H66" s="36" t="s">
        <v>45</v>
      </c>
      <c r="I66" s="44">
        <v>11.958912824207159</v>
      </c>
      <c r="J66" s="36">
        <v>2.4558481692568273</v>
      </c>
      <c r="K66" s="36">
        <v>2.2422961545388427</v>
      </c>
      <c r="L66" s="36">
        <v>16.550281140643836</v>
      </c>
      <c r="M66" s="34"/>
      <c r="N66" s="34"/>
      <c r="O66" s="34"/>
      <c r="P66" s="34"/>
      <c r="Q66" s="34"/>
      <c r="R66" s="31"/>
      <c r="S66" s="31"/>
      <c r="T66" s="31"/>
      <c r="U66" s="31"/>
      <c r="W66" t="s">
        <v>30</v>
      </c>
      <c r="X66" s="47">
        <v>182411.14641707414</v>
      </c>
      <c r="Y66" s="47">
        <v>215747.20115644619</v>
      </c>
      <c r="Z66" s="47">
        <v>767412.12386165012</v>
      </c>
      <c r="AA66" s="47">
        <v>65089.832483156679</v>
      </c>
      <c r="AB66" s="47">
        <v>48839.791913706715</v>
      </c>
      <c r="AC66" s="47">
        <v>544619.95896317111</v>
      </c>
      <c r="AE66" s="28">
        <f t="shared" si="2"/>
        <v>182.41114641707415</v>
      </c>
      <c r="AF66" s="28">
        <f t="shared" si="3"/>
        <v>215.74720115644618</v>
      </c>
      <c r="AG66" s="28">
        <f t="shared" si="4"/>
        <v>767.41212386165012</v>
      </c>
      <c r="AH66" s="28">
        <f t="shared" si="5"/>
        <v>65.089832483156684</v>
      </c>
      <c r="AI66" s="28">
        <f t="shared" si="6"/>
        <v>48.839791913706719</v>
      </c>
      <c r="AJ66" s="28">
        <f t="shared" si="7"/>
        <v>544.61995896317114</v>
      </c>
      <c r="AL66" t="s">
        <v>30</v>
      </c>
      <c r="AM66" s="18">
        <v>524.42472334010301</v>
      </c>
      <c r="AN66" s="18">
        <v>156.85567062421373</v>
      </c>
      <c r="AO66" s="18">
        <v>563.14723851926351</v>
      </c>
      <c r="AP66" s="20">
        <v>72.13788360787774</v>
      </c>
      <c r="AQ66" s="20">
        <v>98.968458846230092</v>
      </c>
      <c r="AR66" s="18">
        <v>322.55658583249965</v>
      </c>
      <c r="AT66" t="s">
        <v>30</v>
      </c>
      <c r="AU66" s="49">
        <f t="shared" si="9"/>
        <v>0.34783094369632872</v>
      </c>
      <c r="AV66" s="49">
        <f t="shared" si="10"/>
        <v>1.3754504398717058</v>
      </c>
      <c r="AW66" s="49">
        <f t="shared" si="11"/>
        <v>1.3627202112887558</v>
      </c>
      <c r="AX66" s="49">
        <f t="shared" si="12"/>
        <v>0.90229750621695004</v>
      </c>
      <c r="AY66" s="49">
        <f t="shared" si="13"/>
        <v>0.4934884556461609</v>
      </c>
      <c r="AZ66" s="49">
        <f t="shared" si="14"/>
        <v>1.6884478038404918</v>
      </c>
    </row>
    <row r="67" spans="6:52" ht="15.75" x14ac:dyDescent="0.25">
      <c r="F67" s="61" t="s">
        <v>23</v>
      </c>
      <c r="G67" s="36">
        <v>4.8490352715674252</v>
      </c>
      <c r="H67" s="36">
        <v>2.3473993159173796</v>
      </c>
      <c r="I67" s="44">
        <v>1.9123321931956325</v>
      </c>
      <c r="J67" s="36">
        <v>3.5438339034021835</v>
      </c>
      <c r="K67" s="36">
        <v>1.1509647284325752</v>
      </c>
      <c r="L67" s="36">
        <v>5.0665688329282981</v>
      </c>
      <c r="M67" s="34"/>
      <c r="N67" s="34"/>
      <c r="O67" s="34"/>
      <c r="P67" s="34"/>
      <c r="Q67" s="34"/>
      <c r="R67" s="31"/>
      <c r="S67" s="31"/>
      <c r="T67" s="31"/>
      <c r="U67" s="31"/>
      <c r="W67" t="s">
        <v>31</v>
      </c>
      <c r="X67" s="47">
        <v>4279.5478359893023</v>
      </c>
      <c r="Y67" s="47">
        <v>7726.7488302744005</v>
      </c>
      <c r="Z67" s="47">
        <v>49694.172566195135</v>
      </c>
      <c r="AA67" s="47">
        <v>4868.0972246148058</v>
      </c>
      <c r="AB67" s="47">
        <v>3366.583634425569</v>
      </c>
      <c r="AC67" s="47">
        <v>25926.709304717369</v>
      </c>
      <c r="AE67" s="28">
        <f t="shared" si="2"/>
        <v>4.2795478359893027</v>
      </c>
      <c r="AF67" s="28">
        <f t="shared" si="3"/>
        <v>7.726748830274401</v>
      </c>
      <c r="AG67" s="28">
        <f t="shared" si="4"/>
        <v>49.694172566195135</v>
      </c>
      <c r="AH67" s="28">
        <f t="shared" si="5"/>
        <v>4.8680972246148055</v>
      </c>
      <c r="AI67" s="28">
        <f t="shared" si="6"/>
        <v>3.3665836344255693</v>
      </c>
      <c r="AJ67" s="28">
        <f t="shared" si="7"/>
        <v>25.92670930471737</v>
      </c>
      <c r="AL67" t="s">
        <v>31</v>
      </c>
      <c r="AM67" s="20">
        <v>16.630042892782896</v>
      </c>
      <c r="AN67" s="20">
        <v>6.1268579078673833</v>
      </c>
      <c r="AO67" s="20">
        <v>32.056595839377565</v>
      </c>
      <c r="AP67" s="20">
        <v>9.7373277464320918</v>
      </c>
      <c r="AQ67" s="20">
        <v>10.174960454136906</v>
      </c>
      <c r="AR67" s="20">
        <v>17.614716485118731</v>
      </c>
      <c r="AT67" t="s">
        <v>31</v>
      </c>
      <c r="AU67" s="49">
        <f t="shared" si="9"/>
        <v>0.25733835225683876</v>
      </c>
      <c r="AV67" s="49">
        <f t="shared" si="10"/>
        <v>1.2611274729176642</v>
      </c>
      <c r="AW67" s="49">
        <f t="shared" si="11"/>
        <v>1.5502011759199954</v>
      </c>
      <c r="AX67" s="49">
        <f t="shared" si="12"/>
        <v>0.49994180655966436</v>
      </c>
      <c r="AY67" s="49">
        <f t="shared" si="13"/>
        <v>0.33086945640725252</v>
      </c>
      <c r="AZ67" s="49">
        <f t="shared" si="14"/>
        <v>1.4718777521409885</v>
      </c>
    </row>
    <row r="68" spans="6:52" ht="15.75" x14ac:dyDescent="0.25">
      <c r="F68" s="61" t="s">
        <v>24</v>
      </c>
      <c r="G68" s="36">
        <v>82.618594668228468</v>
      </c>
      <c r="H68" s="36">
        <v>25.436759442188567</v>
      </c>
      <c r="I68" s="36">
        <v>55.146894470664812</v>
      </c>
      <c r="J68" s="36">
        <v>11.904403418944248</v>
      </c>
      <c r="K68" s="36">
        <v>13.735850098781826</v>
      </c>
      <c r="L68" s="36">
        <v>44.565202542714367</v>
      </c>
      <c r="M68" s="34"/>
      <c r="N68" s="34"/>
      <c r="O68" s="34"/>
      <c r="P68" s="34"/>
      <c r="Q68" s="34"/>
      <c r="R68" s="31"/>
      <c r="S68" s="31"/>
      <c r="T68" s="31"/>
      <c r="U68" s="31"/>
      <c r="W68" t="s">
        <v>32</v>
      </c>
      <c r="X68" s="47">
        <v>553.8391299619384</v>
      </c>
      <c r="Y68" s="47">
        <v>234.90827561351276</v>
      </c>
      <c r="Z68" s="47">
        <v>4208.3440877280891</v>
      </c>
      <c r="AA68" s="47">
        <v>2801.5057732523696</v>
      </c>
      <c r="AB68" s="47">
        <v>166.9969276829236</v>
      </c>
      <c r="AC68" s="47">
        <v>178.99554815210058</v>
      </c>
      <c r="AE68" s="28">
        <f t="shared" si="2"/>
        <v>0.5538391299619384</v>
      </c>
      <c r="AF68" s="28">
        <f t="shared" si="3"/>
        <v>0.23490827561351277</v>
      </c>
      <c r="AG68" s="28">
        <f t="shared" si="4"/>
        <v>4.2083440877280891</v>
      </c>
      <c r="AH68" s="28">
        <f t="shared" si="5"/>
        <v>2.8015057732523698</v>
      </c>
      <c r="AI68" s="28">
        <f t="shared" si="6"/>
        <v>0.1669969276829236</v>
      </c>
      <c r="AJ68" s="28">
        <f t="shared" si="7"/>
        <v>0.17899554815210059</v>
      </c>
      <c r="AL68" t="s">
        <v>32</v>
      </c>
      <c r="AM68" s="20">
        <v>3.431875904780668</v>
      </c>
      <c r="AN68"/>
      <c r="AO68" s="20">
        <v>6.2397743723284878</v>
      </c>
      <c r="AP68"/>
      <c r="AQ68"/>
      <c r="AR68"/>
      <c r="AT68" t="s">
        <v>32</v>
      </c>
      <c r="AU68" s="49">
        <f t="shared" si="9"/>
        <v>0.16138087312260621</v>
      </c>
      <c r="AV68" s="49"/>
      <c r="AW68" s="49">
        <f t="shared" si="11"/>
        <v>0.67443850315979736</v>
      </c>
      <c r="AX68" s="49"/>
      <c r="AY68" s="49"/>
      <c r="AZ68" s="49"/>
    </row>
    <row r="69" spans="6:52" ht="15.75" x14ac:dyDescent="0.25">
      <c r="F69" s="61" t="s">
        <v>25</v>
      </c>
      <c r="G69" s="36">
        <v>20.404640975429292</v>
      </c>
      <c r="H69" s="36">
        <v>15.227344011514395</v>
      </c>
      <c r="I69" s="36">
        <v>24.972844178883609</v>
      </c>
      <c r="J69" s="36">
        <v>11.572781448750941</v>
      </c>
      <c r="K69" s="36">
        <v>5.1772969639148938</v>
      </c>
      <c r="L69" s="36">
        <v>15.328859638257825</v>
      </c>
      <c r="M69" s="34"/>
      <c r="N69" s="34"/>
      <c r="O69" s="34"/>
      <c r="P69" s="34"/>
      <c r="Q69" s="34"/>
      <c r="R69" s="31"/>
      <c r="S69" s="31"/>
      <c r="T69" s="31"/>
      <c r="U69" s="31"/>
      <c r="W69" t="s">
        <v>78</v>
      </c>
      <c r="X69" s="47">
        <v>10.799216788757947</v>
      </c>
      <c r="Y69" s="47">
        <v>16.165416726816243</v>
      </c>
      <c r="Z69" s="47">
        <v>63.685377130797676</v>
      </c>
      <c r="AA69" s="47">
        <v>26.992299594760016</v>
      </c>
      <c r="AB69" s="47">
        <v>6.8239695326541234</v>
      </c>
      <c r="AC69" s="47">
        <v>22.791236379906358</v>
      </c>
      <c r="AE69" s="28">
        <f t="shared" si="2"/>
        <v>1.0799216788757948E-2</v>
      </c>
      <c r="AF69" s="28">
        <f t="shared" si="3"/>
        <v>1.6165416726816245E-2</v>
      </c>
      <c r="AG69" s="28">
        <f t="shared" si="4"/>
        <v>6.368537713079768E-2</v>
      </c>
      <c r="AH69" s="28">
        <f t="shared" si="5"/>
        <v>2.6992299594760016E-2</v>
      </c>
      <c r="AI69" s="28">
        <f t="shared" si="6"/>
        <v>6.823969532654124E-3</v>
      </c>
      <c r="AJ69" s="28">
        <f t="shared" si="7"/>
        <v>2.2791236379906359E-2</v>
      </c>
      <c r="AL69"/>
      <c r="AT69"/>
      <c r="AU69" s="49"/>
      <c r="AV69" s="49"/>
      <c r="AW69" s="49"/>
      <c r="AX69" s="49"/>
      <c r="AY69" s="49"/>
      <c r="AZ69" s="49"/>
    </row>
    <row r="70" spans="6:52" ht="15.75" x14ac:dyDescent="0.25">
      <c r="F70" s="61" t="s">
        <v>26</v>
      </c>
      <c r="G70" s="34" t="s">
        <v>48</v>
      </c>
      <c r="H70" s="34" t="s">
        <v>48</v>
      </c>
      <c r="I70" s="34" t="s">
        <v>48</v>
      </c>
      <c r="J70" s="34" t="s">
        <v>48</v>
      </c>
      <c r="K70" s="34" t="s">
        <v>48</v>
      </c>
      <c r="L70" s="34" t="s">
        <v>48</v>
      </c>
      <c r="M70" s="34"/>
      <c r="N70" s="34"/>
      <c r="O70" s="34"/>
      <c r="P70" s="34"/>
      <c r="Q70" s="34"/>
      <c r="R70" s="31"/>
      <c r="S70" s="31"/>
      <c r="T70" s="31"/>
      <c r="U70" s="31"/>
      <c r="W70" t="s">
        <v>79</v>
      </c>
      <c r="X70" s="47">
        <v>73.934273352813094</v>
      </c>
      <c r="Y70" s="47">
        <v>32.108189007531166</v>
      </c>
      <c r="Z70" s="47">
        <v>178.12432428988262</v>
      </c>
      <c r="AA70" s="47">
        <v>4.2780671703443041</v>
      </c>
      <c r="AB70" s="47">
        <v>4.4052722251083631</v>
      </c>
      <c r="AC70" s="47">
        <v>59.06963641116765</v>
      </c>
      <c r="AE70" s="28">
        <f t="shared" si="2"/>
        <v>7.3934273352813093E-2</v>
      </c>
      <c r="AF70" s="28">
        <f t="shared" si="3"/>
        <v>3.2108189007531165E-2</v>
      </c>
      <c r="AG70" s="28">
        <f t="shared" si="4"/>
        <v>0.17812432428988262</v>
      </c>
      <c r="AH70" s="28">
        <f t="shared" si="5"/>
        <v>4.2780671703443037E-3</v>
      </c>
      <c r="AI70" s="28">
        <f t="shared" si="6"/>
        <v>4.4052722251083634E-3</v>
      </c>
      <c r="AJ70" s="28">
        <f t="shared" si="7"/>
        <v>5.906963641116765E-2</v>
      </c>
      <c r="AL70"/>
      <c r="AT70"/>
      <c r="AU70" s="49"/>
      <c r="AV70" s="49"/>
      <c r="AW70" s="49"/>
      <c r="AX70" s="49"/>
      <c r="AY70" s="49"/>
      <c r="AZ70" s="49"/>
    </row>
    <row r="71" spans="6:52" ht="15.75" x14ac:dyDescent="0.25">
      <c r="F71" s="61" t="s">
        <v>27</v>
      </c>
      <c r="G71" s="40">
        <v>125.31926792539072</v>
      </c>
      <c r="H71" s="40">
        <v>213.10378758416684</v>
      </c>
      <c r="I71" s="40">
        <v>189.50470466315173</v>
      </c>
      <c r="J71" s="40">
        <v>325.60631219900625</v>
      </c>
      <c r="K71" s="40">
        <v>104.26318962948497</v>
      </c>
      <c r="L71" s="40">
        <v>218.80011794441188</v>
      </c>
      <c r="M71" s="34"/>
      <c r="N71" s="34"/>
      <c r="O71" s="34"/>
      <c r="P71" s="34"/>
      <c r="Q71" s="34"/>
      <c r="R71" s="31"/>
      <c r="S71" s="31"/>
      <c r="T71" s="31"/>
      <c r="U71" s="31"/>
      <c r="W71" t="s">
        <v>33</v>
      </c>
      <c r="X71" s="47">
        <v>1037.814480331904</v>
      </c>
      <c r="Y71" s="47">
        <v>4086.520671085138</v>
      </c>
      <c r="Z71" s="47">
        <v>1067.8874035694244</v>
      </c>
      <c r="AA71" s="47">
        <v>2004.3163073431042</v>
      </c>
      <c r="AB71" s="47">
        <v>1100.7668528386448</v>
      </c>
      <c r="AC71" s="47">
        <v>6579.288074312235</v>
      </c>
      <c r="AE71" s="28">
        <f t="shared" si="2"/>
        <v>1.037814480331904</v>
      </c>
      <c r="AF71" s="28">
        <f t="shared" si="3"/>
        <v>4.0865206710851378</v>
      </c>
      <c r="AG71" s="28">
        <f t="shared" si="4"/>
        <v>1.0678874035694244</v>
      </c>
      <c r="AH71" s="28">
        <f t="shared" si="5"/>
        <v>2.0043163073431041</v>
      </c>
      <c r="AI71" s="28">
        <f t="shared" si="6"/>
        <v>1.1007668528386447</v>
      </c>
      <c r="AJ71" s="28">
        <f t="shared" si="7"/>
        <v>6.5792880743122355</v>
      </c>
      <c r="AL71"/>
      <c r="AM71"/>
      <c r="AN71"/>
      <c r="AO71"/>
      <c r="AP71"/>
      <c r="AQ71"/>
      <c r="AR71"/>
      <c r="AT71"/>
      <c r="AU71" s="49"/>
      <c r="AV71" s="49"/>
      <c r="AW71" s="49"/>
      <c r="AX71" s="49"/>
      <c r="AY71" s="49"/>
      <c r="AZ71" s="49"/>
    </row>
    <row r="72" spans="6:52" ht="15.75" x14ac:dyDescent="0.25">
      <c r="F72" s="61" t="s">
        <v>28</v>
      </c>
      <c r="G72" s="36">
        <v>49.697191381283993</v>
      </c>
      <c r="H72" s="40">
        <v>290.00007661448052</v>
      </c>
      <c r="I72" s="36">
        <v>78.437735794556659</v>
      </c>
      <c r="J72" s="40">
        <v>161.66556232465879</v>
      </c>
      <c r="K72" s="36">
        <v>58.179643725479053</v>
      </c>
      <c r="L72" s="40">
        <v>143.90230918034442</v>
      </c>
      <c r="M72" s="34"/>
      <c r="N72" s="34"/>
      <c r="O72" s="34"/>
      <c r="P72" s="34"/>
      <c r="Q72" s="34"/>
      <c r="R72" s="31"/>
      <c r="S72" s="31"/>
      <c r="T72" s="31"/>
      <c r="U72" s="31"/>
      <c r="W72" t="s">
        <v>80</v>
      </c>
      <c r="X72" s="47">
        <v>20.475706527145409</v>
      </c>
      <c r="Y72" s="47">
        <v>31.600012661435827</v>
      </c>
      <c r="Z72" s="47">
        <v>116.42360032472395</v>
      </c>
      <c r="AA72" s="47">
        <v>20.165690425863605</v>
      </c>
      <c r="AB72" s="47">
        <v>13.849484828170912</v>
      </c>
      <c r="AC72" s="47">
        <v>30.388652281207104</v>
      </c>
      <c r="AE72" s="28">
        <f t="shared" si="2"/>
        <v>2.047570652714541E-2</v>
      </c>
      <c r="AF72" s="28">
        <f t="shared" si="3"/>
        <v>3.1600012661435826E-2</v>
      </c>
      <c r="AG72" s="28">
        <f t="shared" si="4"/>
        <v>0.11642360032472396</v>
      </c>
      <c r="AH72" s="28">
        <f t="shared" si="5"/>
        <v>2.0165690425863605E-2</v>
      </c>
      <c r="AI72" s="28">
        <f t="shared" si="6"/>
        <v>1.3849484828170913E-2</v>
      </c>
      <c r="AJ72" s="28">
        <f t="shared" si="7"/>
        <v>3.0388652281207105E-2</v>
      </c>
      <c r="AL72"/>
      <c r="AT72"/>
      <c r="AU72" s="49"/>
      <c r="AV72" s="49"/>
      <c r="AW72" s="49"/>
      <c r="AX72" s="49"/>
      <c r="AY72" s="49"/>
      <c r="AZ72" s="49"/>
    </row>
    <row r="73" spans="6:52" ht="15.75" x14ac:dyDescent="0.25">
      <c r="F73" s="61" t="s">
        <v>29</v>
      </c>
      <c r="G73" s="36">
        <v>51.437004745032183</v>
      </c>
      <c r="H73" s="36">
        <v>16.061357212875663</v>
      </c>
      <c r="I73" s="36">
        <v>43.711288617319838</v>
      </c>
      <c r="J73" s="36">
        <v>15.858048893725336</v>
      </c>
      <c r="K73" s="36">
        <v>11.080303393692704</v>
      </c>
      <c r="L73" s="36">
        <v>8.8439118830391301</v>
      </c>
      <c r="M73" s="34"/>
      <c r="N73" s="34"/>
      <c r="O73" s="34"/>
      <c r="P73" s="34"/>
      <c r="Q73" s="34"/>
      <c r="R73" s="31"/>
      <c r="S73" s="31"/>
      <c r="T73" s="31"/>
      <c r="U73" s="31"/>
      <c r="W73" t="s">
        <v>81</v>
      </c>
      <c r="X73" s="47">
        <v>274.28914217478547</v>
      </c>
      <c r="Y73" s="47">
        <v>1286.6581461250664</v>
      </c>
      <c r="Z73" s="47">
        <v>562.45208140132183</v>
      </c>
      <c r="AA73" s="47">
        <v>3276.5832229749235</v>
      </c>
      <c r="AB73" s="47">
        <v>910.86634879416795</v>
      </c>
      <c r="AC73" s="47">
        <v>4269.886238849952</v>
      </c>
      <c r="AE73" s="28">
        <f t="shared" si="2"/>
        <v>0.27428914217478545</v>
      </c>
      <c r="AF73" s="28">
        <f t="shared" si="3"/>
        <v>1.2866581461250663</v>
      </c>
      <c r="AG73" s="28">
        <f t="shared" si="4"/>
        <v>0.56245208140132186</v>
      </c>
      <c r="AH73" s="28">
        <f t="shared" si="5"/>
        <v>3.2765832229749234</v>
      </c>
      <c r="AI73" s="28">
        <f t="shared" si="6"/>
        <v>0.91086634879416795</v>
      </c>
      <c r="AJ73" s="28">
        <f t="shared" si="7"/>
        <v>4.2698862388499519</v>
      </c>
      <c r="AL73"/>
      <c r="AT73"/>
      <c r="AU73" s="49"/>
      <c r="AV73" s="49"/>
      <c r="AW73" s="49"/>
      <c r="AX73" s="49"/>
      <c r="AY73" s="49"/>
      <c r="AZ73" s="49"/>
    </row>
    <row r="74" spans="6:52" ht="15.75" x14ac:dyDescent="0.25">
      <c r="F74" s="61" t="s">
        <v>30</v>
      </c>
      <c r="G74" s="40">
        <v>524.42472334010301</v>
      </c>
      <c r="H74" s="40">
        <v>156.85567062421373</v>
      </c>
      <c r="I74" s="40">
        <v>563.14723851926351</v>
      </c>
      <c r="J74" s="36">
        <v>72.13788360787774</v>
      </c>
      <c r="K74" s="36">
        <v>98.968458846230092</v>
      </c>
      <c r="L74" s="40">
        <v>322.55658583249965</v>
      </c>
      <c r="M74" s="34"/>
      <c r="N74" s="34"/>
      <c r="O74" s="34"/>
      <c r="P74" s="34"/>
      <c r="Q74" s="34"/>
      <c r="R74" s="31"/>
      <c r="S74" s="31"/>
      <c r="T74" s="31"/>
      <c r="U74" s="31"/>
      <c r="W74" t="s">
        <v>19</v>
      </c>
      <c r="X74" s="47">
        <v>924016.65435995103</v>
      </c>
      <c r="Y74" s="47">
        <v>1068366.2759148499</v>
      </c>
      <c r="Z74" s="47">
        <v>436547.05381636857</v>
      </c>
      <c r="AA74" s="47">
        <v>1620206.8758673773</v>
      </c>
      <c r="AB74" s="47">
        <v>287224.0789537438</v>
      </c>
      <c r="AC74" s="47">
        <v>696290.97909161332</v>
      </c>
      <c r="AE74" s="28">
        <f t="shared" si="2"/>
        <v>924.01665435995108</v>
      </c>
      <c r="AF74" s="28">
        <f t="shared" si="3"/>
        <v>1068.3662759148499</v>
      </c>
      <c r="AG74" s="28">
        <f t="shared" si="4"/>
        <v>436.54705381636859</v>
      </c>
      <c r="AH74" s="28">
        <f t="shared" si="5"/>
        <v>1620.2068758673772</v>
      </c>
      <c r="AI74" s="28">
        <f t="shared" si="6"/>
        <v>287.2240789537438</v>
      </c>
      <c r="AJ74" s="28">
        <f t="shared" si="7"/>
        <v>696.29097909161328</v>
      </c>
      <c r="AL74" t="s">
        <v>19</v>
      </c>
      <c r="AM74" s="59">
        <v>835.70657417229506</v>
      </c>
      <c r="AN74" s="59">
        <v>1200</v>
      </c>
      <c r="AO74" s="59">
        <v>453.13649476846581</v>
      </c>
      <c r="AP74" s="59">
        <v>1100</v>
      </c>
      <c r="AQ74" s="18">
        <v>212.58255310125557</v>
      </c>
      <c r="AR74" s="18">
        <v>644.42153447038049</v>
      </c>
      <c r="AT74" t="s">
        <v>19</v>
      </c>
      <c r="AU74" s="49">
        <f t="shared" si="9"/>
        <v>1.105671156500259</v>
      </c>
      <c r="AV74" s="49">
        <f t="shared" si="10"/>
        <v>0.8903052299290416</v>
      </c>
      <c r="AW74" s="49">
        <f t="shared" si="11"/>
        <v>0.96338974868803329</v>
      </c>
      <c r="AX74" s="49">
        <f t="shared" si="12"/>
        <v>1.4729153416976157</v>
      </c>
      <c r="AY74" s="49">
        <f t="shared" si="13"/>
        <v>1.3511178352295712</v>
      </c>
      <c r="AZ74" s="49">
        <f t="shared" si="14"/>
        <v>1.0804899306536393</v>
      </c>
    </row>
    <row r="75" spans="6:52" ht="15.75" x14ac:dyDescent="0.25">
      <c r="F75" s="61" t="s">
        <v>31</v>
      </c>
      <c r="G75" s="36">
        <v>16.630042892782896</v>
      </c>
      <c r="H75" s="36">
        <v>6.1268579078673833</v>
      </c>
      <c r="I75" s="36">
        <v>32.056595839377565</v>
      </c>
      <c r="J75" s="36">
        <v>9.7373277464320918</v>
      </c>
      <c r="K75" s="36">
        <v>10.174960454136906</v>
      </c>
      <c r="L75" s="36">
        <v>17.614716485118731</v>
      </c>
      <c r="M75" s="34"/>
      <c r="N75" s="34"/>
      <c r="O75" s="34"/>
      <c r="P75" s="34"/>
      <c r="Q75" s="34"/>
      <c r="R75" s="31"/>
      <c r="S75" s="31"/>
      <c r="T75" s="31"/>
      <c r="U75" s="31"/>
      <c r="W75" t="s">
        <v>36</v>
      </c>
      <c r="X75" s="47">
        <v>32179.6873127906</v>
      </c>
      <c r="Y75" s="47">
        <v>63788.739682431784</v>
      </c>
      <c r="Z75" s="47">
        <v>160279.9037278755</v>
      </c>
      <c r="AA75" s="47">
        <v>45330.25774662647</v>
      </c>
      <c r="AB75" s="47">
        <v>59444.185055870723</v>
      </c>
      <c r="AC75" s="47">
        <v>40635.900087335569</v>
      </c>
      <c r="AE75" s="28">
        <f t="shared" si="2"/>
        <v>32.179687312790598</v>
      </c>
      <c r="AF75" s="28">
        <f t="shared" si="3"/>
        <v>63.788739682431782</v>
      </c>
      <c r="AG75" s="28">
        <f t="shared" si="4"/>
        <v>160.27990372787551</v>
      </c>
      <c r="AH75" s="28">
        <f t="shared" si="5"/>
        <v>45.330257746626472</v>
      </c>
      <c r="AI75" s="28">
        <f t="shared" si="6"/>
        <v>59.444185055870726</v>
      </c>
      <c r="AJ75" s="28">
        <f t="shared" si="7"/>
        <v>40.635900087335571</v>
      </c>
      <c r="AL75" t="s">
        <v>36</v>
      </c>
      <c r="AM75" s="20">
        <v>67.54070060470066</v>
      </c>
      <c r="AN75" s="20">
        <v>57.062035841144962</v>
      </c>
      <c r="AO75" s="18">
        <v>196.08590498138904</v>
      </c>
      <c r="AP75" s="20">
        <v>23.34356011683203</v>
      </c>
      <c r="AQ75" s="20">
        <v>37.245947030856435</v>
      </c>
      <c r="AR75" s="20">
        <v>45.960876141140389</v>
      </c>
      <c r="AT75" t="s">
        <v>36</v>
      </c>
      <c r="AU75" s="49">
        <f t="shared" si="9"/>
        <v>0.47644882307529651</v>
      </c>
      <c r="AV75" s="49">
        <f t="shared" si="10"/>
        <v>1.1178840492129178</v>
      </c>
      <c r="AW75" s="49">
        <f t="shared" si="11"/>
        <v>0.81739635361903262</v>
      </c>
      <c r="AX75" s="49">
        <f t="shared" si="12"/>
        <v>1.9418742265427109</v>
      </c>
      <c r="AY75" s="49">
        <f t="shared" si="13"/>
        <v>1.5959906995148798</v>
      </c>
      <c r="AZ75" s="49">
        <f t="shared" si="14"/>
        <v>0.88414111085584079</v>
      </c>
    </row>
    <row r="76" spans="6:52" ht="15.75" x14ac:dyDescent="0.25">
      <c r="F76" s="61" t="s">
        <v>32</v>
      </c>
      <c r="G76" s="36">
        <v>3.431875904780668</v>
      </c>
      <c r="H76" s="36" t="s">
        <v>47</v>
      </c>
      <c r="I76" s="36">
        <v>6.2397743723284878</v>
      </c>
      <c r="J76" s="36" t="s">
        <v>47</v>
      </c>
      <c r="K76" s="36" t="s">
        <v>47</v>
      </c>
      <c r="L76" s="36" t="s">
        <v>47</v>
      </c>
      <c r="M76" s="34"/>
      <c r="N76" s="34"/>
      <c r="O76" s="34"/>
      <c r="P76" s="34"/>
      <c r="Q76" s="34"/>
      <c r="R76" s="31"/>
      <c r="S76" s="31"/>
      <c r="T76" s="31"/>
      <c r="U76" s="31"/>
      <c r="W76" t="s">
        <v>37</v>
      </c>
      <c r="X76" s="47">
        <v>60098.64433514393</v>
      </c>
      <c r="Y76" s="47">
        <v>128993.18062653525</v>
      </c>
      <c r="Z76" s="47">
        <v>350186.08073898265</v>
      </c>
      <c r="AA76" s="47">
        <v>90183.891642611474</v>
      </c>
      <c r="AB76" s="47">
        <v>120704.25574930556</v>
      </c>
      <c r="AC76" s="47">
        <v>75553.270126355856</v>
      </c>
      <c r="AE76" s="28">
        <f t="shared" si="2"/>
        <v>60.098644335143931</v>
      </c>
      <c r="AF76" s="28">
        <f t="shared" si="3"/>
        <v>128.99318062653526</v>
      </c>
      <c r="AG76" s="28">
        <f t="shared" si="4"/>
        <v>350.18608073898264</v>
      </c>
      <c r="AH76" s="28">
        <f t="shared" si="5"/>
        <v>90.183891642611471</v>
      </c>
      <c r="AI76" s="28">
        <f t="shared" si="6"/>
        <v>120.70425574930557</v>
      </c>
      <c r="AJ76" s="28">
        <f t="shared" si="7"/>
        <v>75.553270126355855</v>
      </c>
      <c r="AL76" t="s">
        <v>37</v>
      </c>
      <c r="AM76" s="18">
        <v>147.1409628817112</v>
      </c>
      <c r="AN76" s="18">
        <v>112.77160538084061</v>
      </c>
      <c r="AO76" s="18">
        <v>385.81199189306182</v>
      </c>
      <c r="AP76" s="20">
        <v>43.668228761053072</v>
      </c>
      <c r="AQ76" s="20">
        <v>76.305443576203388</v>
      </c>
      <c r="AR76" s="20">
        <v>87.974615353687298</v>
      </c>
      <c r="AT76" t="s">
        <v>37</v>
      </c>
      <c r="AU76" s="49">
        <f t="shared" si="9"/>
        <v>0.4084426468206418</v>
      </c>
      <c r="AV76" s="49">
        <f t="shared" si="10"/>
        <v>1.1438445004920594</v>
      </c>
      <c r="AW76" s="49">
        <f t="shared" si="11"/>
        <v>0.90765991751766528</v>
      </c>
      <c r="AX76" s="49">
        <f t="shared" si="12"/>
        <v>2.0652060823461862</v>
      </c>
      <c r="AY76" s="49">
        <f t="shared" si="13"/>
        <v>1.5818564193098852</v>
      </c>
      <c r="AZ76" s="49">
        <f t="shared" si="14"/>
        <v>0.85880762106894704</v>
      </c>
    </row>
    <row r="77" spans="6:52" ht="15.75" x14ac:dyDescent="0.25">
      <c r="F77" s="61" t="s">
        <v>33</v>
      </c>
      <c r="G77" s="36" t="s">
        <v>46</v>
      </c>
      <c r="H77" s="36" t="s">
        <v>46</v>
      </c>
      <c r="I77" s="36" t="s">
        <v>46</v>
      </c>
      <c r="J77" s="36" t="s">
        <v>46</v>
      </c>
      <c r="K77" s="36" t="s">
        <v>46</v>
      </c>
      <c r="L77" s="36" t="s">
        <v>46</v>
      </c>
      <c r="M77" s="34"/>
      <c r="N77" s="34"/>
      <c r="O77" s="34"/>
      <c r="P77" s="34"/>
      <c r="Q77" s="34"/>
      <c r="R77" s="31"/>
      <c r="S77" s="31"/>
      <c r="T77" s="31"/>
      <c r="U77" s="31"/>
      <c r="W77" t="s">
        <v>82</v>
      </c>
      <c r="X77" s="47">
        <v>6519.4520374779822</v>
      </c>
      <c r="Y77" s="47">
        <v>14100.007231034588</v>
      </c>
      <c r="Z77" s="47">
        <v>40862.813733339477</v>
      </c>
      <c r="AA77" s="47">
        <v>9817.529075351742</v>
      </c>
      <c r="AB77" s="47">
        <v>13301.283033902335</v>
      </c>
      <c r="AC77" s="47">
        <v>7564.4356559461012</v>
      </c>
      <c r="AE77" s="28">
        <f t="shared" si="2"/>
        <v>6.5194520374779827</v>
      </c>
      <c r="AF77" s="28">
        <f t="shared" si="3"/>
        <v>14.100007231034589</v>
      </c>
      <c r="AG77" s="28">
        <f t="shared" si="4"/>
        <v>40.862813733339479</v>
      </c>
      <c r="AH77" s="28">
        <f t="shared" si="5"/>
        <v>9.817529075351743</v>
      </c>
      <c r="AI77" s="28">
        <f t="shared" si="6"/>
        <v>13.301283033902335</v>
      </c>
      <c r="AJ77" s="28">
        <f t="shared" si="7"/>
        <v>7.5644356559461015</v>
      </c>
      <c r="AL77"/>
      <c r="AT77"/>
      <c r="AU77" s="49"/>
      <c r="AV77" s="49"/>
      <c r="AW77" s="49"/>
      <c r="AX77" s="49"/>
      <c r="AY77" s="49"/>
      <c r="AZ77" s="49"/>
    </row>
    <row r="78" spans="6:52" ht="15.75" x14ac:dyDescent="0.25">
      <c r="F78" s="61" t="s">
        <v>34</v>
      </c>
      <c r="G78" s="36">
        <v>13.044548753192037</v>
      </c>
      <c r="H78" s="36">
        <v>50.100302291020739</v>
      </c>
      <c r="I78" s="36">
        <v>25.05015114551037</v>
      </c>
      <c r="J78" s="36">
        <v>82.3076394781055</v>
      </c>
      <c r="K78" s="36">
        <v>20.778927217474042</v>
      </c>
      <c r="L78" s="36">
        <v>50.56205622918683</v>
      </c>
      <c r="M78" s="34"/>
      <c r="N78" s="34"/>
      <c r="O78" s="34"/>
      <c r="P78" s="34"/>
      <c r="Q78" s="34"/>
      <c r="R78" s="31"/>
      <c r="S78" s="31"/>
      <c r="T78" s="31"/>
      <c r="U78" s="31"/>
      <c r="W78" t="s">
        <v>38</v>
      </c>
      <c r="X78" s="47">
        <v>22913.78782476878</v>
      </c>
      <c r="Y78" s="47">
        <v>47817.458904269755</v>
      </c>
      <c r="Z78" s="47">
        <v>149142.79424332731</v>
      </c>
      <c r="AA78" s="47">
        <v>31677.49088317066</v>
      </c>
      <c r="AB78" s="47">
        <v>44464.077488449409</v>
      </c>
      <c r="AC78" s="47">
        <v>24502.999345108041</v>
      </c>
      <c r="AE78" s="28">
        <f t="shared" si="2"/>
        <v>22.913787824768782</v>
      </c>
      <c r="AF78" s="28">
        <f t="shared" si="3"/>
        <v>47.817458904269756</v>
      </c>
      <c r="AG78" s="28">
        <f t="shared" si="4"/>
        <v>149.14279424332733</v>
      </c>
      <c r="AH78" s="28">
        <f t="shared" si="5"/>
        <v>31.677490883170659</v>
      </c>
      <c r="AI78" s="28">
        <f t="shared" si="6"/>
        <v>44.464077488449412</v>
      </c>
      <c r="AJ78" s="28">
        <f t="shared" si="7"/>
        <v>24.502999345108041</v>
      </c>
      <c r="AL78" t="s">
        <v>38</v>
      </c>
      <c r="AM78" s="20">
        <v>69.609318974495281</v>
      </c>
      <c r="AN78" s="20">
        <v>43.286467261450838</v>
      </c>
      <c r="AO78" s="18">
        <v>188.54961190010346</v>
      </c>
      <c r="AP78" s="20">
        <v>11.699045205797525</v>
      </c>
      <c r="AQ78" s="20">
        <v>25.737899452754554</v>
      </c>
      <c r="AR78" s="20">
        <v>28.077708493914059</v>
      </c>
      <c r="AT78" t="s">
        <v>38</v>
      </c>
      <c r="AU78" s="49">
        <f t="shared" si="9"/>
        <v>0.32917701483567668</v>
      </c>
      <c r="AV78" s="49">
        <f t="shared" si="10"/>
        <v>1.104674553722568</v>
      </c>
      <c r="AW78" s="49">
        <f t="shared" si="11"/>
        <v>0.79100027170750964</v>
      </c>
      <c r="AX78" s="49">
        <f t="shared" si="12"/>
        <v>2.7076988186585269</v>
      </c>
      <c r="AY78" s="49">
        <f t="shared" si="13"/>
        <v>1.7275721186987045</v>
      </c>
      <c r="AZ78" s="49">
        <f t="shared" si="14"/>
        <v>0.8726851534347666</v>
      </c>
    </row>
    <row r="79" spans="6:52" ht="15.75" x14ac:dyDescent="0.25">
      <c r="F79" s="42" t="s">
        <v>44</v>
      </c>
      <c r="G79" s="36" t="s">
        <v>46</v>
      </c>
      <c r="H79" s="36" t="s">
        <v>46</v>
      </c>
      <c r="I79" s="36" t="s">
        <v>46</v>
      </c>
      <c r="J79" s="36" t="s">
        <v>46</v>
      </c>
      <c r="K79" s="36" t="s">
        <v>46</v>
      </c>
      <c r="L79" s="36" t="s">
        <v>46</v>
      </c>
      <c r="M79" s="34"/>
      <c r="N79" s="34"/>
      <c r="O79" s="34"/>
      <c r="P79" s="34"/>
      <c r="Q79" s="34"/>
      <c r="R79" s="31"/>
      <c r="S79" s="31"/>
      <c r="T79" s="31"/>
      <c r="U79" s="31"/>
      <c r="W79" t="s">
        <v>83</v>
      </c>
      <c r="X79" s="47">
        <v>4265.7878491911924</v>
      </c>
      <c r="Y79" s="47">
        <v>7975.1873807185002</v>
      </c>
      <c r="Z79" s="47">
        <v>26453.814046294065</v>
      </c>
      <c r="AA79" s="47">
        <v>6109.0070368134138</v>
      </c>
      <c r="AB79" s="47">
        <v>7527.2830418353969</v>
      </c>
      <c r="AC79" s="47">
        <v>3683.1552494705134</v>
      </c>
      <c r="AE79" s="28">
        <f t="shared" si="2"/>
        <v>4.2657878491911925</v>
      </c>
      <c r="AF79" s="28">
        <f t="shared" si="3"/>
        <v>7.9751873807185003</v>
      </c>
      <c r="AG79" s="28">
        <f t="shared" si="4"/>
        <v>26.453814046294067</v>
      </c>
      <c r="AH79" s="28">
        <f t="shared" si="5"/>
        <v>6.1090070368134137</v>
      </c>
      <c r="AI79" s="28">
        <f t="shared" si="6"/>
        <v>7.5272830418353971</v>
      </c>
      <c r="AJ79" s="28">
        <f t="shared" si="7"/>
        <v>3.6831552494705133</v>
      </c>
      <c r="AL79"/>
      <c r="AT79"/>
      <c r="AU79" s="49"/>
      <c r="AV79" s="49"/>
      <c r="AW79" s="49"/>
      <c r="AX79" s="49"/>
      <c r="AY79" s="49"/>
      <c r="AZ79" s="49"/>
    </row>
    <row r="80" spans="6:52" ht="15.75" x14ac:dyDescent="0.25">
      <c r="F80" s="61" t="s">
        <v>41</v>
      </c>
      <c r="G80" s="36">
        <v>2.8</v>
      </c>
      <c r="H80" s="36">
        <v>2.2000000000000002</v>
      </c>
      <c r="I80" s="36" t="s">
        <v>46</v>
      </c>
      <c r="J80" s="36" t="s">
        <v>46</v>
      </c>
      <c r="K80" s="36">
        <v>3</v>
      </c>
      <c r="L80" s="36">
        <v>2.1</v>
      </c>
      <c r="M80" s="34"/>
      <c r="N80" s="34"/>
      <c r="O80" s="34"/>
      <c r="P80" s="34"/>
      <c r="Q80" s="34"/>
      <c r="R80" s="31"/>
      <c r="S80" s="31"/>
      <c r="T80" s="31"/>
      <c r="U80" s="31"/>
      <c r="W80" t="s">
        <v>84</v>
      </c>
      <c r="X80" s="47">
        <v>2058.2374176028002</v>
      </c>
      <c r="Y80" s="47">
        <v>1238.0924776231702</v>
      </c>
      <c r="Z80" s="47">
        <v>2672.2668029630013</v>
      </c>
      <c r="AA80" s="47">
        <v>2119.0543377481149</v>
      </c>
      <c r="AB80" s="47">
        <v>666.65123809317208</v>
      </c>
      <c r="AC80" s="47">
        <v>1290.6414702605716</v>
      </c>
      <c r="AE80" s="28">
        <f t="shared" si="2"/>
        <v>2.0582374176028004</v>
      </c>
      <c r="AF80" s="28">
        <f t="shared" si="3"/>
        <v>1.2380924776231703</v>
      </c>
      <c r="AG80" s="28">
        <f t="shared" si="4"/>
        <v>2.6722668029630015</v>
      </c>
      <c r="AH80" s="28">
        <f t="shared" si="5"/>
        <v>2.119054337748115</v>
      </c>
      <c r="AI80" s="28">
        <f t="shared" si="6"/>
        <v>0.66665123809317206</v>
      </c>
      <c r="AJ80" s="28">
        <f t="shared" si="7"/>
        <v>1.2906414702605717</v>
      </c>
      <c r="AL80"/>
      <c r="AT80"/>
      <c r="AU80" s="49"/>
      <c r="AV80" s="49"/>
      <c r="AW80" s="49"/>
      <c r="AX80" s="49"/>
      <c r="AY80" s="49"/>
      <c r="AZ80" s="49"/>
    </row>
    <row r="81" spans="6:52" ht="15.75" x14ac:dyDescent="0.25">
      <c r="F81" s="61" t="s">
        <v>35</v>
      </c>
      <c r="G81" s="36">
        <v>6.6999999999999993</v>
      </c>
      <c r="H81" s="36">
        <v>41.4</v>
      </c>
      <c r="I81" s="36">
        <v>30.4</v>
      </c>
      <c r="J81" s="36">
        <v>10.3</v>
      </c>
      <c r="K81" s="36">
        <v>28.2</v>
      </c>
      <c r="L81" s="36">
        <v>34.200000000000003</v>
      </c>
      <c r="M81" s="34"/>
      <c r="N81" s="34"/>
      <c r="O81" s="34"/>
      <c r="P81" s="34"/>
      <c r="Q81" s="34"/>
      <c r="R81" s="31"/>
      <c r="S81" s="31"/>
      <c r="T81" s="31"/>
      <c r="U81" s="31"/>
      <c r="W81" t="s">
        <v>85</v>
      </c>
      <c r="X81" s="47">
        <v>3756.670927308307</v>
      </c>
      <c r="Y81" s="47">
        <v>5431.0204436133963</v>
      </c>
      <c r="Z81" s="47">
        <v>20368.624581891076</v>
      </c>
      <c r="AA81" s="47">
        <v>4148.2553156327494</v>
      </c>
      <c r="AB81" s="47">
        <v>5337.3308739894928</v>
      </c>
      <c r="AC81" s="47">
        <v>2326.3780384927286</v>
      </c>
      <c r="AE81" s="28">
        <f t="shared" si="2"/>
        <v>3.7566709273083072</v>
      </c>
      <c r="AF81" s="28">
        <f t="shared" si="3"/>
        <v>5.4310204436133969</v>
      </c>
      <c r="AG81" s="28">
        <f t="shared" si="4"/>
        <v>20.368624581891076</v>
      </c>
      <c r="AH81" s="28">
        <f t="shared" si="5"/>
        <v>4.14825531563275</v>
      </c>
      <c r="AI81" s="28">
        <f t="shared" si="6"/>
        <v>5.3373308739894929</v>
      </c>
      <c r="AJ81" s="28">
        <f t="shared" si="7"/>
        <v>2.3263780384927286</v>
      </c>
      <c r="AL81"/>
      <c r="AM81" s="28"/>
      <c r="AN81" s="28"/>
      <c r="AO81" s="28"/>
      <c r="AP81" s="28"/>
      <c r="AQ81" s="28"/>
      <c r="AR81" s="28"/>
      <c r="AT81"/>
      <c r="AU81" s="49"/>
      <c r="AV81" s="49"/>
      <c r="AW81" s="49"/>
      <c r="AX81" s="49"/>
      <c r="AY81" s="49"/>
      <c r="AZ81" s="49"/>
    </row>
    <row r="82" spans="6:52" ht="15.75" x14ac:dyDescent="0.25">
      <c r="F82" s="42" t="s">
        <v>36</v>
      </c>
      <c r="G82" s="36">
        <v>67.54070060470066</v>
      </c>
      <c r="H82" s="36">
        <v>57.062035841144962</v>
      </c>
      <c r="I82" s="40">
        <v>196.08590498138904</v>
      </c>
      <c r="J82" s="36">
        <v>23.34356011683203</v>
      </c>
      <c r="K82" s="36">
        <v>37.245947030856435</v>
      </c>
      <c r="L82" s="36">
        <v>45.960876141140389</v>
      </c>
      <c r="M82" s="34"/>
      <c r="N82" s="34"/>
      <c r="O82" s="34"/>
      <c r="P82" s="34"/>
      <c r="Q82" s="34"/>
      <c r="R82" s="31"/>
      <c r="S82" s="31"/>
      <c r="T82" s="31"/>
      <c r="U82" s="31"/>
      <c r="W82" t="s">
        <v>86</v>
      </c>
      <c r="X82" s="47">
        <v>586.32567525643128</v>
      </c>
      <c r="Y82" s="47">
        <v>658.45786851765968</v>
      </c>
      <c r="Z82" s="47">
        <v>2816.4690375370033</v>
      </c>
      <c r="AA82" s="47">
        <v>555.03732405865446</v>
      </c>
      <c r="AB82" s="47">
        <v>705.54600540576371</v>
      </c>
      <c r="AC82" s="47">
        <v>288.96417680241802</v>
      </c>
      <c r="AE82" s="28">
        <f t="shared" si="2"/>
        <v>0.58632567525643131</v>
      </c>
      <c r="AF82" s="28">
        <f t="shared" si="3"/>
        <v>0.65845786851765964</v>
      </c>
      <c r="AG82" s="28">
        <f t="shared" si="4"/>
        <v>2.8164690375370034</v>
      </c>
      <c r="AH82" s="28">
        <f t="shared" si="5"/>
        <v>0.55503732405865447</v>
      </c>
      <c r="AI82" s="28">
        <f t="shared" si="6"/>
        <v>0.70554600540576373</v>
      </c>
      <c r="AJ82" s="28">
        <f t="shared" si="7"/>
        <v>0.28896417680241804</v>
      </c>
      <c r="AL82"/>
      <c r="AT82"/>
      <c r="AU82" s="49"/>
      <c r="AV82" s="49"/>
      <c r="AW82" s="49"/>
      <c r="AX82" s="49"/>
      <c r="AY82" s="49"/>
      <c r="AZ82" s="49"/>
    </row>
    <row r="83" spans="6:52" ht="15.75" x14ac:dyDescent="0.25">
      <c r="F83" s="42" t="s">
        <v>37</v>
      </c>
      <c r="G83" s="40">
        <v>147.1409628817112</v>
      </c>
      <c r="H83" s="40">
        <v>112.77160538084061</v>
      </c>
      <c r="I83" s="40">
        <v>385.81199189306182</v>
      </c>
      <c r="J83" s="36">
        <v>43.668228761053072</v>
      </c>
      <c r="K83" s="36">
        <v>76.305443576203388</v>
      </c>
      <c r="L83" s="36">
        <v>87.974615353687298</v>
      </c>
      <c r="M83" s="34"/>
      <c r="N83" s="34"/>
      <c r="O83" s="34"/>
      <c r="P83" s="34"/>
      <c r="Q83" s="34"/>
      <c r="R83" s="31"/>
      <c r="S83" s="31"/>
      <c r="T83" s="31"/>
      <c r="U83" s="31"/>
      <c r="W83" t="s">
        <v>87</v>
      </c>
      <c r="X83" s="47">
        <v>3317.7030427216646</v>
      </c>
      <c r="Y83" s="47">
        <v>2938.03979614326</v>
      </c>
      <c r="Z83" s="47">
        <v>14483.042896392419</v>
      </c>
      <c r="AA83" s="47">
        <v>2486.7106050690732</v>
      </c>
      <c r="AB83" s="47">
        <v>3289.4180248339158</v>
      </c>
      <c r="AC83" s="47">
        <v>1397.6511082525835</v>
      </c>
      <c r="AE83" s="28">
        <f t="shared" si="2"/>
        <v>3.3177030427216647</v>
      </c>
      <c r="AF83" s="28">
        <f t="shared" si="3"/>
        <v>2.9380397961432601</v>
      </c>
      <c r="AG83" s="28">
        <f t="shared" si="4"/>
        <v>14.483042896392419</v>
      </c>
      <c r="AH83" s="28">
        <f t="shared" si="5"/>
        <v>2.486710605069073</v>
      </c>
      <c r="AI83" s="28">
        <f t="shared" si="6"/>
        <v>3.2894180248339158</v>
      </c>
      <c r="AJ83" s="28">
        <f t="shared" si="7"/>
        <v>1.3976511082525835</v>
      </c>
      <c r="AL83"/>
      <c r="AT83"/>
      <c r="AU83" s="49"/>
      <c r="AV83" s="49"/>
      <c r="AW83" s="49"/>
      <c r="AX83" s="49"/>
      <c r="AY83" s="49"/>
      <c r="AZ83" s="49"/>
    </row>
    <row r="84" spans="6:52" ht="15.75" x14ac:dyDescent="0.25">
      <c r="F84" s="42" t="s">
        <v>38</v>
      </c>
      <c r="G84" s="36">
        <v>69.609318974495281</v>
      </c>
      <c r="H84" s="36">
        <v>43.286467261450838</v>
      </c>
      <c r="I84" s="40">
        <v>188.54961190010346</v>
      </c>
      <c r="J84" s="36">
        <v>11.699045205797525</v>
      </c>
      <c r="K84" s="36">
        <v>25.737899452754554</v>
      </c>
      <c r="L84" s="36">
        <v>28.077708493914059</v>
      </c>
      <c r="M84" s="34"/>
      <c r="N84" s="34"/>
      <c r="O84" s="34"/>
      <c r="P84" s="34"/>
      <c r="Q84" s="34"/>
      <c r="R84" s="31"/>
      <c r="S84" s="31"/>
      <c r="T84" s="31"/>
      <c r="U84" s="31"/>
      <c r="W84" t="s">
        <v>88</v>
      </c>
      <c r="X84" s="47">
        <v>639.91602880938194</v>
      </c>
      <c r="Y84" s="47">
        <v>464.6432193089895</v>
      </c>
      <c r="Z84" s="47">
        <v>2600.0890089540139</v>
      </c>
      <c r="AA84" s="47">
        <v>397.97437724576452</v>
      </c>
      <c r="AB84" s="47">
        <v>528.75026680857673</v>
      </c>
      <c r="AC84" s="47">
        <v>265.34992938647224</v>
      </c>
      <c r="AE84" s="28">
        <f t="shared" si="2"/>
        <v>0.63991602880938192</v>
      </c>
      <c r="AF84" s="28">
        <f t="shared" si="3"/>
        <v>0.4646432193089895</v>
      </c>
      <c r="AG84" s="28">
        <f t="shared" si="4"/>
        <v>2.6000890089540141</v>
      </c>
      <c r="AH84" s="28">
        <f t="shared" si="5"/>
        <v>0.39797437724576451</v>
      </c>
      <c r="AI84" s="28">
        <f t="shared" si="6"/>
        <v>0.52875026680857673</v>
      </c>
      <c r="AJ84" s="28">
        <f t="shared" si="7"/>
        <v>0.26534992938647223</v>
      </c>
      <c r="AL84"/>
      <c r="AT84"/>
      <c r="AU84" s="49"/>
      <c r="AV84" s="49"/>
      <c r="AW84" s="49"/>
      <c r="AX84" s="49"/>
      <c r="AY84" s="49"/>
      <c r="AZ84" s="49"/>
    </row>
    <row r="85" spans="6:52" ht="15.75" x14ac:dyDescent="0.25">
      <c r="F85" s="42" t="s">
        <v>67</v>
      </c>
      <c r="G85" s="37">
        <f>G74/40</f>
        <v>13.110618083502576</v>
      </c>
      <c r="H85" s="37">
        <f t="shared" ref="H85:L85" si="16">H74/40</f>
        <v>3.9213917656053434</v>
      </c>
      <c r="I85" s="37">
        <f t="shared" si="16"/>
        <v>14.078680962981588</v>
      </c>
      <c r="J85" s="37">
        <f t="shared" si="16"/>
        <v>1.8034470901969435</v>
      </c>
      <c r="K85" s="37">
        <f t="shared" si="16"/>
        <v>2.4742114711557521</v>
      </c>
      <c r="L85" s="37">
        <f t="shared" si="16"/>
        <v>8.063914645812492</v>
      </c>
      <c r="M85" s="31"/>
      <c r="N85" s="31"/>
      <c r="O85" s="31"/>
      <c r="P85" s="31"/>
      <c r="Q85" s="31"/>
      <c r="R85" s="31"/>
      <c r="S85" s="31"/>
      <c r="T85" s="31"/>
      <c r="U85" s="31"/>
      <c r="W85" t="s">
        <v>89</v>
      </c>
      <c r="X85" s="47">
        <v>1654.5277281614024</v>
      </c>
      <c r="Y85" s="47">
        <v>1008.8767644714784</v>
      </c>
      <c r="Z85" s="47">
        <v>6128.7648494354989</v>
      </c>
      <c r="AA85" s="47">
        <v>951.22540859103083</v>
      </c>
      <c r="AB85" s="47">
        <v>1185.3581362974214</v>
      </c>
      <c r="AC85" s="47">
        <v>817.76369751688992</v>
      </c>
      <c r="AE85" s="28">
        <f t="shared" si="2"/>
        <v>1.6545277281614024</v>
      </c>
      <c r="AF85" s="28">
        <f t="shared" si="3"/>
        <v>1.0088767644714784</v>
      </c>
      <c r="AG85" s="28">
        <f t="shared" si="4"/>
        <v>6.1287648494354992</v>
      </c>
      <c r="AH85" s="28">
        <f t="shared" si="5"/>
        <v>0.95122540859103089</v>
      </c>
      <c r="AI85" s="28">
        <f t="shared" si="6"/>
        <v>1.1853581362974215</v>
      </c>
      <c r="AJ85" s="28">
        <f t="shared" si="7"/>
        <v>0.81776369751688993</v>
      </c>
      <c r="AL85"/>
      <c r="AT85"/>
      <c r="AU85" s="49"/>
      <c r="AV85" s="49"/>
      <c r="AW85" s="49"/>
      <c r="AX85" s="49"/>
      <c r="AY85" s="49"/>
      <c r="AZ85" s="49"/>
    </row>
    <row r="86" spans="6:52" x14ac:dyDescent="0.25">
      <c r="W86" t="s">
        <v>90</v>
      </c>
      <c r="X86" s="47">
        <v>240.80354539581182</v>
      </c>
      <c r="Y86" s="47">
        <v>120.92036105260675</v>
      </c>
      <c r="Z86" s="47">
        <v>763.3526967334069</v>
      </c>
      <c r="AA86" s="47">
        <v>132.34689303340909</v>
      </c>
      <c r="AB86" s="47">
        <v>149.16226797216868</v>
      </c>
      <c r="AC86" s="47">
        <v>146.63662363859916</v>
      </c>
      <c r="AE86" s="28">
        <f t="shared" si="2"/>
        <v>0.24080354539581184</v>
      </c>
      <c r="AF86" s="28">
        <f t="shared" si="3"/>
        <v>0.12092036105260676</v>
      </c>
      <c r="AG86" s="28">
        <f t="shared" si="4"/>
        <v>0.76335269673340689</v>
      </c>
      <c r="AH86" s="28">
        <f t="shared" si="5"/>
        <v>0.1323468930334091</v>
      </c>
      <c r="AI86" s="28">
        <f t="shared" si="6"/>
        <v>0.14916226797216869</v>
      </c>
      <c r="AJ86" s="28">
        <f t="shared" si="7"/>
        <v>0.14663662363859917</v>
      </c>
      <c r="AL86"/>
      <c r="AT86"/>
      <c r="AU86" s="49"/>
      <c r="AV86" s="49"/>
      <c r="AW86" s="49"/>
      <c r="AX86" s="49"/>
      <c r="AY86" s="49"/>
      <c r="AZ86" s="49"/>
    </row>
    <row r="87" spans="6:52" x14ac:dyDescent="0.25">
      <c r="W87" t="s">
        <v>91</v>
      </c>
      <c r="X87" s="47">
        <v>1609.3833378734691</v>
      </c>
      <c r="Y87" s="47">
        <v>697.93009357725634</v>
      </c>
      <c r="Z87" s="47">
        <v>4257.6695326554454</v>
      </c>
      <c r="AA87" s="47">
        <v>807.64862271290326</v>
      </c>
      <c r="AB87" s="47">
        <v>860.30887063478599</v>
      </c>
      <c r="AC87" s="47">
        <v>1137.8904920625152</v>
      </c>
      <c r="AE87" s="28">
        <f t="shared" si="2"/>
        <v>1.6093833378734692</v>
      </c>
      <c r="AF87" s="28">
        <f t="shared" si="3"/>
        <v>0.69793009357725633</v>
      </c>
      <c r="AG87" s="28">
        <f t="shared" si="4"/>
        <v>4.2576695326554459</v>
      </c>
      <c r="AH87" s="28">
        <f t="shared" si="5"/>
        <v>0.80764862271290327</v>
      </c>
      <c r="AI87" s="28">
        <f t="shared" si="6"/>
        <v>0.860308870634786</v>
      </c>
      <c r="AJ87" s="28">
        <f t="shared" si="7"/>
        <v>1.1378904920625152</v>
      </c>
      <c r="AL87"/>
      <c r="AT87"/>
      <c r="AU87" s="49"/>
      <c r="AV87" s="49"/>
      <c r="AW87" s="49"/>
      <c r="AX87" s="49"/>
      <c r="AY87" s="49"/>
      <c r="AZ87" s="49"/>
    </row>
    <row r="88" spans="6:52" x14ac:dyDescent="0.25">
      <c r="W88" t="s">
        <v>92</v>
      </c>
      <c r="X88" s="47">
        <v>245.0363227840343</v>
      </c>
      <c r="Y88" s="47">
        <v>102.81158664609717</v>
      </c>
      <c r="Z88" s="47">
        <v>567.1178090254607</v>
      </c>
      <c r="AA88" s="47">
        <v>107.75139785391686</v>
      </c>
      <c r="AB88" s="47">
        <v>110.80136451104424</v>
      </c>
      <c r="AC88" s="47">
        <v>192.55116389631331</v>
      </c>
      <c r="AE88" s="28">
        <f t="shared" si="2"/>
        <v>0.24503632278403431</v>
      </c>
      <c r="AF88" s="28">
        <f t="shared" si="3"/>
        <v>0.10281158664609717</v>
      </c>
      <c r="AG88" s="28">
        <f t="shared" si="4"/>
        <v>0.56711780902546072</v>
      </c>
      <c r="AH88" s="28">
        <f t="shared" si="5"/>
        <v>0.10775139785391685</v>
      </c>
      <c r="AI88" s="28">
        <f t="shared" si="6"/>
        <v>0.11080136451104425</v>
      </c>
      <c r="AJ88" s="28">
        <f t="shared" si="7"/>
        <v>0.19255116389631333</v>
      </c>
      <c r="AL88"/>
      <c r="AT88"/>
      <c r="AU88" s="49"/>
      <c r="AV88" s="49"/>
      <c r="AW88" s="49"/>
      <c r="AX88" s="49"/>
      <c r="AY88" s="49"/>
      <c r="AZ88" s="49"/>
    </row>
    <row r="89" spans="6:52" x14ac:dyDescent="0.25">
      <c r="W89" t="s">
        <v>68</v>
      </c>
      <c r="X89" s="47">
        <v>4841.7532121789109</v>
      </c>
      <c r="Y89" s="47">
        <v>6535.6041479286569</v>
      </c>
      <c r="Z89" s="47">
        <v>19966.124886145437</v>
      </c>
      <c r="AA89" s="47">
        <v>2242.3382134577978</v>
      </c>
      <c r="AB89" s="47">
        <v>1380.9976705911465</v>
      </c>
      <c r="AC89" s="47">
        <v>16104.715513444346</v>
      </c>
      <c r="AE89" s="28">
        <f t="shared" si="2"/>
        <v>4.8417532121789106</v>
      </c>
      <c r="AF89" s="28">
        <f t="shared" si="3"/>
        <v>6.5356041479286571</v>
      </c>
      <c r="AG89" s="28">
        <f t="shared" si="4"/>
        <v>19.966124886145437</v>
      </c>
      <c r="AH89" s="28">
        <f t="shared" si="5"/>
        <v>2.2423382134577978</v>
      </c>
      <c r="AI89" s="28">
        <f t="shared" si="6"/>
        <v>1.3809976705911466</v>
      </c>
      <c r="AJ89" s="28">
        <f t="shared" si="7"/>
        <v>16.104715513444347</v>
      </c>
      <c r="AL89" t="s">
        <v>68</v>
      </c>
      <c r="AM89" s="28">
        <f>AM66/40</f>
        <v>13.110618083502576</v>
      </c>
      <c r="AN89" s="28">
        <f t="shared" ref="AN89:AR89" si="17">AN66/40</f>
        <v>3.9213917656053434</v>
      </c>
      <c r="AO89" s="28">
        <f t="shared" si="17"/>
        <v>14.078680962981588</v>
      </c>
      <c r="AP89" s="28">
        <f t="shared" si="17"/>
        <v>1.8034470901969435</v>
      </c>
      <c r="AQ89" s="28">
        <f t="shared" si="17"/>
        <v>2.4742114711557521</v>
      </c>
      <c r="AR89" s="28">
        <f t="shared" si="17"/>
        <v>8.063914645812492</v>
      </c>
      <c r="AT89" t="s">
        <v>68</v>
      </c>
      <c r="AU89" s="49">
        <f t="shared" si="9"/>
        <v>0.36930014903503383</v>
      </c>
      <c r="AV89" s="49">
        <f t="shared" si="10"/>
        <v>1.6666542234450168</v>
      </c>
      <c r="AW89" s="49">
        <f t="shared" si="11"/>
        <v>1.4181815000030376</v>
      </c>
      <c r="AX89" s="49">
        <f t="shared" si="12"/>
        <v>1.2433623507152216</v>
      </c>
      <c r="AY89" s="49">
        <f t="shared" si="13"/>
        <v>0.55815668413583741</v>
      </c>
      <c r="AZ89" s="49">
        <f t="shared" si="14"/>
        <v>1.9971336777240518</v>
      </c>
    </row>
    <row r="90" spans="6:52" x14ac:dyDescent="0.25">
      <c r="W90" t="s">
        <v>93</v>
      </c>
      <c r="X90" s="47">
        <v>133.12709722240095</v>
      </c>
      <c r="Y90" s="47">
        <v>312.33237306424854</v>
      </c>
      <c r="Z90" s="47">
        <v>1587.7597709296256</v>
      </c>
      <c r="AA90" s="47">
        <v>600.8739793848772</v>
      </c>
      <c r="AB90" s="47">
        <v>309.41132131074596</v>
      </c>
      <c r="AC90" s="47">
        <v>1404.7802911484366</v>
      </c>
      <c r="AE90" s="28">
        <f t="shared" si="2"/>
        <v>0.13312709722240096</v>
      </c>
      <c r="AF90" s="28">
        <f t="shared" si="3"/>
        <v>0.31233237306424855</v>
      </c>
      <c r="AG90" s="28">
        <f t="shared" si="4"/>
        <v>1.5877597709296256</v>
      </c>
      <c r="AH90" s="28">
        <f t="shared" si="5"/>
        <v>0.60087397938487719</v>
      </c>
      <c r="AI90" s="28">
        <f t="shared" si="6"/>
        <v>0.30941132131074595</v>
      </c>
      <c r="AJ90" s="28">
        <f t="shared" si="7"/>
        <v>1.4047802911484366</v>
      </c>
      <c r="AL90"/>
      <c r="AT90"/>
      <c r="AU90" s="49"/>
      <c r="AV90" s="49"/>
      <c r="AW90" s="49"/>
      <c r="AX90" s="49"/>
      <c r="AY90" s="49"/>
      <c r="AZ90" s="49"/>
    </row>
    <row r="91" spans="6:52" x14ac:dyDescent="0.25">
      <c r="W91" t="s">
        <v>94</v>
      </c>
      <c r="X91" s="47">
        <v>63.49282008833913</v>
      </c>
      <c r="Y91" s="47">
        <v>109.66387860132068</v>
      </c>
      <c r="Z91" s="47">
        <v>129.9625588480431</v>
      </c>
      <c r="AA91" s="47">
        <v>969.28133421511984</v>
      </c>
      <c r="AB91" s="47">
        <v>284.6245500499507</v>
      </c>
      <c r="AC91" s="47">
        <v>570.23007119600459</v>
      </c>
      <c r="AE91" s="28">
        <f t="shared" si="2"/>
        <v>6.3492820088339133E-2</v>
      </c>
      <c r="AF91" s="28">
        <f t="shared" si="3"/>
        <v>0.10966387860132068</v>
      </c>
      <c r="AG91" s="28">
        <f t="shared" si="4"/>
        <v>0.12996255884804311</v>
      </c>
      <c r="AH91" s="28">
        <f t="shared" si="5"/>
        <v>0.96928133421511986</v>
      </c>
      <c r="AI91" s="28">
        <f t="shared" si="6"/>
        <v>0.28462455004995069</v>
      </c>
      <c r="AJ91" s="28">
        <f t="shared" si="7"/>
        <v>0.57023007119600455</v>
      </c>
      <c r="AL91"/>
      <c r="AT91"/>
      <c r="AU91" s="49"/>
      <c r="AV91" s="49"/>
      <c r="AW91" s="49"/>
      <c r="AX91" s="49"/>
      <c r="AY91" s="49"/>
      <c r="AZ91" s="49"/>
    </row>
    <row r="92" spans="6:52" x14ac:dyDescent="0.25">
      <c r="W92" t="s">
        <v>95</v>
      </c>
      <c r="X92" s="47">
        <v>816.61018803870991</v>
      </c>
      <c r="Y92" s="47">
        <v>1026.0504031216126</v>
      </c>
      <c r="Z92" s="47">
        <v>778.3346245902402</v>
      </c>
      <c r="AA92" s="47">
        <v>2581.435552468718</v>
      </c>
      <c r="AB92" s="47">
        <v>1023.2353547396725</v>
      </c>
      <c r="AC92" s="47">
        <v>2520.5922524516204</v>
      </c>
      <c r="AE92" s="28">
        <f t="shared" si="2"/>
        <v>0.81661018803870988</v>
      </c>
      <c r="AF92" s="28">
        <f t="shared" si="3"/>
        <v>1.0260504031216127</v>
      </c>
      <c r="AG92" s="28">
        <f t="shared" si="4"/>
        <v>0.77833462459024016</v>
      </c>
      <c r="AH92" s="28">
        <f t="shared" si="5"/>
        <v>2.5814355524687183</v>
      </c>
      <c r="AI92" s="28">
        <f t="shared" si="6"/>
        <v>1.0232353547396726</v>
      </c>
      <c r="AJ92" s="28">
        <f t="shared" si="7"/>
        <v>2.5205922524516207</v>
      </c>
      <c r="AL92"/>
      <c r="AT92"/>
      <c r="AU92" s="49"/>
      <c r="AV92" s="49"/>
      <c r="AW92" s="49"/>
      <c r="AX92" s="49"/>
      <c r="AY92" s="49"/>
      <c r="AZ92" s="49"/>
    </row>
    <row r="93" spans="6:52" x14ac:dyDescent="0.25">
      <c r="W93" t="s">
        <v>34</v>
      </c>
      <c r="X93" s="47">
        <v>11550.750095398969</v>
      </c>
      <c r="Y93" s="47">
        <v>47477.219882340025</v>
      </c>
      <c r="Z93" s="47">
        <v>24702.566844829227</v>
      </c>
      <c r="AA93" s="47">
        <v>100217.06887804739</v>
      </c>
      <c r="AB93" s="47">
        <v>22951.592432172758</v>
      </c>
      <c r="AC93" s="47">
        <v>47952.742401204538</v>
      </c>
      <c r="AE93" s="28">
        <f t="shared" si="2"/>
        <v>11.550750095398969</v>
      </c>
      <c r="AF93" s="28">
        <f t="shared" si="3"/>
        <v>47.477219882340023</v>
      </c>
      <c r="AG93" s="28">
        <f t="shared" si="4"/>
        <v>24.702566844829228</v>
      </c>
      <c r="AH93" s="28">
        <f t="shared" si="5"/>
        <v>100.21706887804739</v>
      </c>
      <c r="AI93" s="28">
        <f t="shared" si="6"/>
        <v>22.95159243217276</v>
      </c>
      <c r="AJ93" s="28">
        <f t="shared" si="7"/>
        <v>47.952742401204539</v>
      </c>
      <c r="AL93" t="s">
        <v>34</v>
      </c>
      <c r="AM93" s="20">
        <v>13.044548753192037</v>
      </c>
      <c r="AN93" s="20">
        <v>50.100302291020739</v>
      </c>
      <c r="AO93" s="20">
        <v>25.05015114551037</v>
      </c>
      <c r="AP93" s="20">
        <v>82.3076394781055</v>
      </c>
      <c r="AQ93" s="20">
        <v>20.778927217474042</v>
      </c>
      <c r="AR93" s="20">
        <v>50.56205622918683</v>
      </c>
      <c r="AT93" t="s">
        <v>34</v>
      </c>
      <c r="AU93" s="49">
        <f t="shared" si="9"/>
        <v>0.88548483461894145</v>
      </c>
      <c r="AV93" s="49">
        <f t="shared" si="10"/>
        <v>0.94764338160189421</v>
      </c>
      <c r="AW93" s="49">
        <f t="shared" si="11"/>
        <v>0.98612446293588785</v>
      </c>
      <c r="AX93" s="49">
        <f t="shared" si="12"/>
        <v>1.2175913379790941</v>
      </c>
      <c r="AY93" s="49">
        <f t="shared" si="13"/>
        <v>1.1045609906594029</v>
      </c>
      <c r="AZ93" s="49">
        <f t="shared" si="14"/>
        <v>0.94839383477296024</v>
      </c>
    </row>
    <row r="94" spans="6:52" x14ac:dyDescent="0.25">
      <c r="W94" t="s">
        <v>44</v>
      </c>
      <c r="X94" s="47">
        <v>27.829953864669996</v>
      </c>
      <c r="Y94" s="47">
        <v>17.447515107180635</v>
      </c>
      <c r="Z94" s="47">
        <v>13.873000877267588</v>
      </c>
      <c r="AA94" s="47">
        <v>53.016380527650668</v>
      </c>
      <c r="AB94" s="47">
        <v>10.904668905452406</v>
      </c>
      <c r="AC94" s="47">
        <v>11.720462580244686</v>
      </c>
      <c r="AE94" s="28">
        <f t="shared" si="2"/>
        <v>2.7829953864669996E-2</v>
      </c>
      <c r="AF94" s="28">
        <f t="shared" si="3"/>
        <v>1.7447515107180636E-2</v>
      </c>
      <c r="AG94" s="28">
        <f t="shared" si="4"/>
        <v>1.3873000877267588E-2</v>
      </c>
      <c r="AH94" s="28">
        <f t="shared" si="5"/>
        <v>5.3016380527650668E-2</v>
      </c>
      <c r="AI94" s="28">
        <f t="shared" si="6"/>
        <v>1.0904668905452405E-2</v>
      </c>
      <c r="AJ94" s="28">
        <f t="shared" si="7"/>
        <v>1.1720462580244687E-2</v>
      </c>
      <c r="AL94"/>
      <c r="AT94"/>
      <c r="AU94" s="49"/>
      <c r="AV94" s="49"/>
      <c r="AW94" s="49"/>
      <c r="AX94" s="49"/>
      <c r="AY94" s="49"/>
      <c r="AZ94" s="49"/>
    </row>
    <row r="95" spans="6:52" x14ac:dyDescent="0.25">
      <c r="W95" t="s">
        <v>35</v>
      </c>
      <c r="X95" s="47">
        <v>2738.3282779558322</v>
      </c>
      <c r="Y95" s="47">
        <v>40815.904965747221</v>
      </c>
      <c r="Z95" s="47">
        <v>25453.966799748607</v>
      </c>
      <c r="AA95" s="47">
        <v>28360.030567589587</v>
      </c>
      <c r="AB95" s="47">
        <v>40416.180448414794</v>
      </c>
      <c r="AC95" s="47">
        <v>21037.462962918442</v>
      </c>
      <c r="AE95" s="28">
        <f t="shared" si="2"/>
        <v>2.7383282779558322</v>
      </c>
      <c r="AF95" s="28">
        <f t="shared" si="3"/>
        <v>40.815904965747222</v>
      </c>
      <c r="AG95" s="28">
        <f t="shared" si="4"/>
        <v>25.453966799748606</v>
      </c>
      <c r="AH95" s="28">
        <f t="shared" si="5"/>
        <v>28.360030567589586</v>
      </c>
      <c r="AI95" s="28">
        <f t="shared" si="6"/>
        <v>40.416180448414792</v>
      </c>
      <c r="AJ95" s="28">
        <f t="shared" si="7"/>
        <v>21.037462962918443</v>
      </c>
      <c r="AL95"/>
      <c r="AT95"/>
      <c r="AU95" s="49"/>
      <c r="AV95" s="49"/>
      <c r="AW95" s="49"/>
      <c r="AX95" s="49"/>
      <c r="AY95" s="49"/>
      <c r="AZ95" s="49"/>
    </row>
    <row r="96" spans="6:52" x14ac:dyDescent="0.25">
      <c r="W96" t="s">
        <v>96</v>
      </c>
      <c r="X96" s="47">
        <v>2798.5715000708606</v>
      </c>
      <c r="Y96" s="47">
        <v>41713.85487499366</v>
      </c>
      <c r="Z96" s="47">
        <v>26013.954069343075</v>
      </c>
      <c r="AA96" s="47">
        <v>28983.95124007656</v>
      </c>
      <c r="AB96" s="47">
        <v>41305.33641827992</v>
      </c>
      <c r="AC96" s="47">
        <v>21500.287148102649</v>
      </c>
      <c r="AE96" s="28">
        <f t="shared" si="2"/>
        <v>2.7985715000708606</v>
      </c>
      <c r="AF96" s="28">
        <f t="shared" si="3"/>
        <v>41.713854874993658</v>
      </c>
      <c r="AG96" s="28">
        <f t="shared" si="4"/>
        <v>26.013954069343075</v>
      </c>
      <c r="AH96" s="28">
        <f t="shared" si="5"/>
        <v>28.983951240076561</v>
      </c>
      <c r="AI96" s="28">
        <f t="shared" si="6"/>
        <v>41.305336418279921</v>
      </c>
      <c r="AJ96" s="28">
        <f t="shared" si="7"/>
        <v>21.50028714810265</v>
      </c>
      <c r="AL96" t="s">
        <v>35</v>
      </c>
      <c r="AM96" s="20">
        <v>6.6999999999999993</v>
      </c>
      <c r="AN96" s="20">
        <v>41.4</v>
      </c>
      <c r="AO96" s="20">
        <v>30.4</v>
      </c>
      <c r="AP96" s="20">
        <v>10.3</v>
      </c>
      <c r="AQ96" s="20">
        <v>28.2</v>
      </c>
      <c r="AR96" s="20">
        <v>34.200000000000003</v>
      </c>
      <c r="AT96" t="s">
        <v>35</v>
      </c>
      <c r="AU96" s="49">
        <f t="shared" si="9"/>
        <v>0.41769723881654641</v>
      </c>
      <c r="AV96" s="49">
        <f t="shared" si="10"/>
        <v>1.0075810356278661</v>
      </c>
      <c r="AW96" s="49">
        <f t="shared" si="11"/>
        <v>0.85572217333365386</v>
      </c>
      <c r="AX96" s="49">
        <f t="shared" si="12"/>
        <v>2.8139758485511224</v>
      </c>
      <c r="AY96" s="49">
        <f t="shared" si="13"/>
        <v>1.4647282417829759</v>
      </c>
      <c r="AZ96" s="49">
        <f t="shared" si="14"/>
        <v>0.62866336690358626</v>
      </c>
    </row>
    <row r="97" spans="20:52" x14ac:dyDescent="0.25">
      <c r="W97" t="s">
        <v>41</v>
      </c>
      <c r="X97" s="47">
        <v>750.1224700399631</v>
      </c>
      <c r="Y97" s="47">
        <v>1991.3566227459221</v>
      </c>
      <c r="Z97" s="47">
        <v>1785.4175637551095</v>
      </c>
      <c r="AA97" s="47">
        <v>1556.7605474619547</v>
      </c>
      <c r="AB97" s="47">
        <v>2007.2580889543181</v>
      </c>
      <c r="AC97" s="47">
        <v>1672.9655247693697</v>
      </c>
      <c r="AE97" s="28">
        <f t="shared" si="2"/>
        <v>0.75012247003996313</v>
      </c>
      <c r="AF97" s="28">
        <f t="shared" si="3"/>
        <v>1.9913566227459221</v>
      </c>
      <c r="AG97" s="28">
        <f t="shared" si="4"/>
        <v>1.7854175637551095</v>
      </c>
      <c r="AH97" s="28">
        <f t="shared" si="5"/>
        <v>1.5567605474619548</v>
      </c>
      <c r="AI97" s="28">
        <f t="shared" si="6"/>
        <v>2.0072580889543179</v>
      </c>
      <c r="AJ97" s="28">
        <f t="shared" si="7"/>
        <v>1.6729655247693698</v>
      </c>
      <c r="AL97" t="s">
        <v>41</v>
      </c>
      <c r="AM97" s="20">
        <v>2.8</v>
      </c>
      <c r="AN97" s="20">
        <v>2.2000000000000002</v>
      </c>
      <c r="AO97"/>
      <c r="AP97"/>
      <c r="AQ97" s="20">
        <v>3</v>
      </c>
      <c r="AR97" s="20">
        <v>2.1</v>
      </c>
      <c r="AT97" t="s">
        <v>41</v>
      </c>
      <c r="AU97" s="49">
        <f t="shared" si="9"/>
        <v>0.2679008821571297</v>
      </c>
      <c r="AV97" s="49">
        <f t="shared" si="10"/>
        <v>0.90516210124814633</v>
      </c>
      <c r="AW97" s="49"/>
      <c r="AX97" s="49"/>
      <c r="AY97" s="49">
        <f t="shared" si="13"/>
        <v>0.66908602965143926</v>
      </c>
      <c r="AZ97" s="49">
        <f t="shared" si="14"/>
        <v>0.79665024989017608</v>
      </c>
    </row>
    <row r="103" spans="20:52" x14ac:dyDescent="0.25">
      <c r="V103"/>
      <c r="W103" s="47"/>
      <c r="X103" s="47"/>
      <c r="Y103" s="47"/>
      <c r="Z103" s="47"/>
      <c r="AA103" s="47"/>
      <c r="AB103" s="47"/>
      <c r="AD103"/>
      <c r="AE103" s="48"/>
      <c r="AF103" s="48"/>
      <c r="AG103" s="48"/>
      <c r="AH103" s="48"/>
      <c r="AI103" s="48"/>
      <c r="AJ103" s="48"/>
    </row>
    <row r="104" spans="20:52" x14ac:dyDescent="0.25">
      <c r="V104"/>
      <c r="W104" s="47"/>
      <c r="X104" s="47"/>
      <c r="Y104" s="47"/>
      <c r="Z104" s="47"/>
      <c r="AA104" s="47"/>
      <c r="AB104" s="47"/>
      <c r="AD104"/>
      <c r="AE104" s="48"/>
      <c r="AF104" s="48"/>
      <c r="AG104" s="48"/>
      <c r="AH104" s="48"/>
      <c r="AI104" s="48"/>
      <c r="AJ104" s="48"/>
    </row>
    <row r="105" spans="20:52" x14ac:dyDescent="0.25">
      <c r="AD105"/>
      <c r="AE105" s="48"/>
      <c r="AF105" s="48"/>
      <c r="AG105" s="48"/>
      <c r="AH105" s="48"/>
      <c r="AI105" s="48"/>
      <c r="AJ105" s="48"/>
    </row>
    <row r="108" spans="20:52" x14ac:dyDescent="0.25">
      <c r="AD108"/>
      <c r="AE108" s="49"/>
      <c r="AF108" s="49"/>
      <c r="AG108" s="49"/>
      <c r="AH108" s="49"/>
      <c r="AI108" s="49"/>
      <c r="AJ108" s="49"/>
    </row>
    <row r="109" spans="20:52" x14ac:dyDescent="0.25">
      <c r="AD109"/>
      <c r="AE109" s="49"/>
      <c r="AF109" s="49"/>
      <c r="AG109" s="49"/>
      <c r="AH109" s="49"/>
      <c r="AI109" s="49"/>
      <c r="AJ109" s="49"/>
    </row>
    <row r="110" spans="20:52" x14ac:dyDescent="0.25">
      <c r="AD110"/>
      <c r="AE110" s="50"/>
      <c r="AF110" s="50"/>
      <c r="AG110" s="50"/>
      <c r="AH110" s="50"/>
      <c r="AI110" s="50"/>
      <c r="AJ110" s="50"/>
    </row>
    <row r="111" spans="20:52" x14ac:dyDescent="0.25">
      <c r="T111" s="52"/>
      <c r="U111" s="52"/>
      <c r="V111" s="52"/>
      <c r="W111" s="52"/>
      <c r="X111" s="52"/>
      <c r="Y111" s="52"/>
      <c r="Z111" s="47"/>
      <c r="AA111" s="47"/>
      <c r="AB111" s="47"/>
      <c r="AD111"/>
    </row>
    <row r="112" spans="20:52" x14ac:dyDescent="0.25">
      <c r="Z112" s="47"/>
      <c r="AA112" s="47"/>
      <c r="AB112" s="47"/>
      <c r="AD112"/>
      <c r="AE112" s="48"/>
      <c r="AF112" s="48"/>
      <c r="AG112" s="48"/>
      <c r="AH112" s="48"/>
      <c r="AI112" s="48"/>
      <c r="AJ112" s="48"/>
    </row>
    <row r="113" spans="20:36" x14ac:dyDescent="0.25">
      <c r="T113"/>
      <c r="U113"/>
      <c r="V113"/>
      <c r="W113"/>
      <c r="X113"/>
      <c r="Y113"/>
      <c r="Z113" s="47"/>
      <c r="AA113" s="47"/>
      <c r="AB113" s="47"/>
    </row>
    <row r="115" spans="20:36" x14ac:dyDescent="0.25">
      <c r="AD115"/>
      <c r="AE115" s="49"/>
      <c r="AF115" s="49"/>
      <c r="AG115" s="49"/>
      <c r="AH115" s="49"/>
      <c r="AI115" s="49"/>
      <c r="AJ115" s="49"/>
    </row>
    <row r="116" spans="20:36" x14ac:dyDescent="0.25">
      <c r="AD116"/>
      <c r="AE116" s="49"/>
      <c r="AF116" s="49"/>
      <c r="AG116" s="49"/>
      <c r="AH116" s="49"/>
      <c r="AI116" s="49"/>
      <c r="AJ116" s="49"/>
    </row>
    <row r="117" spans="20:36" x14ac:dyDescent="0.25">
      <c r="AD117"/>
      <c r="AE117" s="51"/>
      <c r="AF117" s="51"/>
      <c r="AG117" s="51"/>
      <c r="AH117" s="51"/>
      <c r="AI117" s="51"/>
      <c r="AJ117" s="51"/>
    </row>
    <row r="118" spans="20:36" x14ac:dyDescent="0.25">
      <c r="AD118"/>
      <c r="AE118"/>
      <c r="AF118"/>
      <c r="AG118"/>
      <c r="AH118"/>
      <c r="AI118"/>
      <c r="AJ118"/>
    </row>
    <row r="119" spans="20:36" x14ac:dyDescent="0.25">
      <c r="AD119"/>
      <c r="AE119" s="53"/>
      <c r="AF119" s="53"/>
      <c r="AG119" s="53"/>
      <c r="AH119" s="53"/>
      <c r="AI119" s="53"/>
      <c r="AJ119" s="53"/>
    </row>
    <row r="122" spans="20:36" x14ac:dyDescent="0.25">
      <c r="AD122"/>
      <c r="AE122" s="49"/>
      <c r="AF122" s="49"/>
      <c r="AG122" s="49"/>
      <c r="AH122" s="49"/>
      <c r="AI122" s="49"/>
      <c r="AJ122" s="49"/>
    </row>
    <row r="123" spans="20:36" x14ac:dyDescent="0.25">
      <c r="AD123"/>
      <c r="AE123" s="49"/>
      <c r="AF123" s="49"/>
      <c r="AG123" s="49"/>
      <c r="AH123" s="49"/>
      <c r="AI123" s="49"/>
      <c r="AJ123" s="49"/>
    </row>
    <row r="124" spans="20:36" x14ac:dyDescent="0.25">
      <c r="AD124"/>
      <c r="AE124" s="49"/>
      <c r="AF124" s="49"/>
      <c r="AG124" s="49"/>
      <c r="AH124" s="49"/>
      <c r="AI124" s="49"/>
      <c r="AJ124" s="49"/>
    </row>
    <row r="125" spans="20:36" x14ac:dyDescent="0.25">
      <c r="AD125"/>
      <c r="AE125" s="48"/>
      <c r="AF125" s="48"/>
      <c r="AG125" s="48"/>
      <c r="AH125" s="48"/>
      <c r="AI125" s="48"/>
      <c r="AJ125" s="48"/>
    </row>
    <row r="126" spans="20:36" x14ac:dyDescent="0.25">
      <c r="AD126"/>
      <c r="AE126" s="48"/>
      <c r="AF126" s="48"/>
      <c r="AG126" s="48"/>
      <c r="AH126" s="48"/>
      <c r="AI126" s="48"/>
      <c r="AJ126" s="48"/>
    </row>
    <row r="127" spans="20:36" x14ac:dyDescent="0.25">
      <c r="AE127" s="54"/>
    </row>
    <row r="128" spans="20:36" x14ac:dyDescent="0.25">
      <c r="AD128"/>
    </row>
    <row r="129" spans="30:36" x14ac:dyDescent="0.25">
      <c r="AD129"/>
    </row>
    <row r="130" spans="30:36" x14ac:dyDescent="0.25">
      <c r="AD130"/>
      <c r="AE130" s="28"/>
      <c r="AF130" s="28"/>
      <c r="AG130" s="28"/>
      <c r="AH130" s="28"/>
      <c r="AI130" s="28"/>
      <c r="AJ130" s="28"/>
    </row>
    <row r="131" spans="30:36" x14ac:dyDescent="0.25">
      <c r="AD131"/>
      <c r="AE131" s="28"/>
      <c r="AF131" s="28"/>
      <c r="AG131" s="28"/>
      <c r="AH131" s="28"/>
      <c r="AI131" s="28"/>
      <c r="AJ131" s="28"/>
    </row>
  </sheetData>
  <sortState xmlns:xlrd2="http://schemas.microsoft.com/office/spreadsheetml/2017/richdata2" ref="AA26:AC37">
    <sortCondition ref="AA6"/>
  </sortState>
  <conditionalFormatting sqref="C26:Y37 AM58:AM61 AM63:AM68 AM75:AM76 AM78 AN96:AP96 AN97">
    <cfRule type="cellIs" dxfId="44" priority="91" operator="lessThanOrEqual">
      <formula>C$41</formula>
    </cfRule>
  </conditionalFormatting>
  <conditionalFormatting sqref="G62 G64:G84">
    <cfRule type="cellIs" dxfId="43" priority="87" operator="lessThanOrEqual">
      <formula>G$41</formula>
    </cfRule>
  </conditionalFormatting>
  <conditionalFormatting sqref="G63">
    <cfRule type="cellIs" dxfId="42" priority="47" operator="lessThanOrEqual">
      <formula>G$43</formula>
    </cfRule>
  </conditionalFormatting>
  <conditionalFormatting sqref="G72:G84">
    <cfRule type="cellIs" dxfId="41" priority="88" operator="lessThanOrEqual">
      <formula>F$41</formula>
    </cfRule>
  </conditionalFormatting>
  <conditionalFormatting sqref="G71:L71">
    <cfRule type="cellIs" dxfId="40" priority="89" operator="lessThanOrEqual">
      <formula>#REF!</formula>
    </cfRule>
  </conditionalFormatting>
  <conditionalFormatting sqref="H63:J63">
    <cfRule type="cellIs" dxfId="39" priority="48" operator="lessThanOrEqual">
      <formula>J$43</formula>
    </cfRule>
  </conditionalFormatting>
  <conditionalFormatting sqref="K63">
    <cfRule type="cellIs" dxfId="38" priority="49" operator="lessThanOrEqual">
      <formula>O$43</formula>
    </cfRule>
  </conditionalFormatting>
  <conditionalFormatting sqref="K72:K84 AQ75:AQ76 AQ78 AQ96:AQ97">
    <cfRule type="cellIs" dxfId="37" priority="102" operator="lessThanOrEqual">
      <formula>N$41</formula>
    </cfRule>
  </conditionalFormatting>
  <conditionalFormatting sqref="L26:L37">
    <cfRule type="cellIs" dxfId="36" priority="94" operator="lessThanOrEqual">
      <formula>#REF!</formula>
    </cfRule>
  </conditionalFormatting>
  <conditionalFormatting sqref="L63">
    <cfRule type="cellIs" dxfId="35" priority="50" operator="lessThanOrEqual">
      <formula>R$43</formula>
    </cfRule>
  </conditionalFormatting>
  <conditionalFormatting sqref="L72:L84 AR75:AR76 AR78 AR96:AR97">
    <cfRule type="cellIs" dxfId="34" priority="106" operator="lessThanOrEqual">
      <formula>Q$41</formula>
    </cfRule>
  </conditionalFormatting>
  <conditionalFormatting sqref="M26:Y37 AM75:AM76 AM78 AM96:AM97">
    <cfRule type="cellIs" dxfId="33" priority="93" operator="lessThanOrEqual">
      <formula>L$41</formula>
    </cfRule>
  </conditionalFormatting>
  <conditionalFormatting sqref="O49:O51">
    <cfRule type="cellIs" dxfId="32" priority="64" operator="lessThanOrEqual">
      <formula>N$41</formula>
    </cfRule>
    <cfRule type="cellIs" dxfId="31" priority="63" operator="lessThanOrEqual">
      <formula>O$41</formula>
    </cfRule>
  </conditionalFormatting>
  <conditionalFormatting sqref="P49:R51">
    <cfRule type="cellIs" dxfId="30" priority="65" operator="lessThanOrEqual">
      <formula>R$41</formula>
    </cfRule>
    <cfRule type="cellIs" dxfId="29" priority="66" operator="lessThanOrEqual">
      <formula>Q$41</formula>
    </cfRule>
  </conditionalFormatting>
  <conditionalFormatting sqref="S49:S51">
    <cfRule type="cellIs" dxfId="28" priority="67" operator="lessThanOrEqual">
      <formula>W$41</formula>
    </cfRule>
    <cfRule type="cellIs" dxfId="27" priority="68" operator="lessThanOrEqual">
      <formula>V$41</formula>
    </cfRule>
  </conditionalFormatting>
  <conditionalFormatting sqref="T49:T51">
    <cfRule type="cellIs" dxfId="26" priority="69" operator="lessThanOrEqual">
      <formula>Z$41</formula>
    </cfRule>
    <cfRule type="cellIs" dxfId="25" priority="70" operator="lessThanOrEqual">
      <formula>Y$41</formula>
    </cfRule>
  </conditionalFormatting>
  <conditionalFormatting sqref="AM55:AM56">
    <cfRule type="cellIs" dxfId="24" priority="51" operator="lessThanOrEqual">
      <formula>AM$41</formula>
    </cfRule>
  </conditionalFormatting>
  <conditionalFormatting sqref="AM64:AM68">
    <cfRule type="cellIs" dxfId="23" priority="34" operator="lessThanOrEqual">
      <formula>AL$41</formula>
    </cfRule>
  </conditionalFormatting>
  <conditionalFormatting sqref="AM74">
    <cfRule type="cellIs" dxfId="22" priority="43" operator="lessThanOrEqual">
      <formula>AM$43</formula>
    </cfRule>
  </conditionalFormatting>
  <conditionalFormatting sqref="AM93 AM96:AM97">
    <cfRule type="cellIs" dxfId="21" priority="18" operator="lessThanOrEqual">
      <formula>AK$41</formula>
    </cfRule>
  </conditionalFormatting>
  <conditionalFormatting sqref="AM93">
    <cfRule type="cellIs" dxfId="20" priority="17" operator="lessThanOrEqual">
      <formula>AL$41</formula>
    </cfRule>
  </conditionalFormatting>
  <conditionalFormatting sqref="AM63:AR63">
    <cfRule type="cellIs" dxfId="19" priority="35" operator="lessThanOrEqual">
      <formula>#REF!</formula>
    </cfRule>
  </conditionalFormatting>
  <conditionalFormatting sqref="AN56 AP56 AN58:AP61 H62:J62 AN63:AP67 H64:J84 AO68 AN75:AP76 AN78:AP78 AQ96:AQ97">
    <cfRule type="cellIs" dxfId="18" priority="96" operator="lessThanOrEqual">
      <formula>J$41</formula>
    </cfRule>
  </conditionalFormatting>
  <conditionalFormatting sqref="AN55:AP55">
    <cfRule type="cellIs" dxfId="17" priority="52" operator="lessThanOrEqual">
      <formula>AP$41</formula>
    </cfRule>
  </conditionalFormatting>
  <conditionalFormatting sqref="AN64:AP67">
    <cfRule type="cellIs" dxfId="16" priority="38" operator="lessThanOrEqual">
      <formula>AO$41</formula>
    </cfRule>
  </conditionalFormatting>
  <conditionalFormatting sqref="AN74:AP74">
    <cfRule type="cellIs" dxfId="15" priority="44" operator="lessThanOrEqual">
      <formula>AP$43</formula>
    </cfRule>
  </conditionalFormatting>
  <conditionalFormatting sqref="AN93:AP93">
    <cfRule type="cellIs" dxfId="14" priority="19" operator="lessThanOrEqual">
      <formula>AO$41</formula>
    </cfRule>
    <cfRule type="cellIs" dxfId="13" priority="20" operator="lessThanOrEqual">
      <formula>AN$41</formula>
    </cfRule>
  </conditionalFormatting>
  <conditionalFormatting sqref="AO68 H72:J84 AN75:AP76 AN78:AP78 AN96:AP96 AN97">
    <cfRule type="cellIs" dxfId="12" priority="98" operator="lessThanOrEqual">
      <formula>I$41</formula>
    </cfRule>
  </conditionalFormatting>
  <conditionalFormatting sqref="AQ55:AQ56">
    <cfRule type="cellIs" dxfId="11" priority="53" operator="lessThanOrEqual">
      <formula>AU$41</formula>
    </cfRule>
  </conditionalFormatting>
  <conditionalFormatting sqref="AQ58:AQ61 K62 AQ63:AQ67 K64:K84 AQ75:AQ76 AQ78 AR96:AR97">
    <cfRule type="cellIs" dxfId="10" priority="100" operator="lessThanOrEqual">
      <formula>O$41</formula>
    </cfRule>
  </conditionalFormatting>
  <conditionalFormatting sqref="AQ64:AQ67">
    <cfRule type="cellIs" dxfId="9" priority="40" operator="lessThanOrEqual">
      <formula>AT$41</formula>
    </cfRule>
  </conditionalFormatting>
  <conditionalFormatting sqref="AQ74">
    <cfRule type="cellIs" dxfId="8" priority="45" operator="lessThanOrEqual">
      <formula>AU$43</formula>
    </cfRule>
  </conditionalFormatting>
  <conditionalFormatting sqref="AQ93">
    <cfRule type="cellIs" dxfId="7" priority="21" operator="lessThanOrEqual">
      <formula>AT$41</formula>
    </cfRule>
    <cfRule type="cellIs" dxfId="6" priority="22" operator="lessThanOrEqual">
      <formula>AS$41</formula>
    </cfRule>
  </conditionalFormatting>
  <conditionalFormatting sqref="AR55:AR56">
    <cfRule type="cellIs" dxfId="5" priority="54" operator="lessThanOrEqual">
      <formula>AX$41</formula>
    </cfRule>
  </conditionalFormatting>
  <conditionalFormatting sqref="AR58:AR61 L62 AR63:AR67 L64:L84 AR75:AR76 AR78">
    <cfRule type="cellIs" dxfId="4" priority="104" operator="lessThanOrEqual">
      <formula>R$41</formula>
    </cfRule>
  </conditionalFormatting>
  <conditionalFormatting sqref="AR64:AR67">
    <cfRule type="cellIs" dxfId="3" priority="42" operator="lessThanOrEqual">
      <formula>AW$41</formula>
    </cfRule>
  </conditionalFormatting>
  <conditionalFormatting sqref="AR74">
    <cfRule type="cellIs" dxfId="2" priority="46" operator="lessThanOrEqual">
      <formula>AX$43</formula>
    </cfRule>
  </conditionalFormatting>
  <conditionalFormatting sqref="AR93">
    <cfRule type="cellIs" dxfId="1" priority="23" operator="lessThanOrEqual">
      <formula>AW$41</formula>
    </cfRule>
    <cfRule type="cellIs" dxfId="0" priority="24" operator="lessThanOrEqual">
      <formula>AV$41</formula>
    </cfRule>
  </conditionalFormatting>
  <pageMargins left="0.70866141732283472" right="0.70866141732283472" top="0.74803149606299213" bottom="0.74803149606299213" header="0.31496062992125984" footer="0.31496062992125984"/>
  <pageSetup paperSize="9" scale="34" orientation="landscape"/>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5"/>
  <sheetViews>
    <sheetView tabSelected="1" topLeftCell="A82" zoomScale="110" zoomScaleNormal="110" workbookViewId="0">
      <selection activeCell="B103" sqref="B103"/>
    </sheetView>
  </sheetViews>
  <sheetFormatPr defaultColWidth="11.42578125" defaultRowHeight="15" x14ac:dyDescent="0.25"/>
  <cols>
    <col min="2" max="3" width="11" bestFit="1" customWidth="1"/>
    <col min="4" max="4" width="11.28515625" bestFit="1" customWidth="1"/>
    <col min="5" max="7" width="11" bestFit="1" customWidth="1"/>
  </cols>
  <sheetData>
    <row r="1" spans="1:17" ht="18.75" x14ac:dyDescent="0.3">
      <c r="A1" s="55" t="s">
        <v>181</v>
      </c>
    </row>
    <row r="2" spans="1:17" x14ac:dyDescent="0.25">
      <c r="A2" t="s">
        <v>106</v>
      </c>
    </row>
    <row r="5" spans="1:17" ht="15.75" x14ac:dyDescent="0.25">
      <c r="A5" s="24" t="s">
        <v>108</v>
      </c>
    </row>
    <row r="6" spans="1:17" x14ac:dyDescent="0.25">
      <c r="A6" s="3"/>
    </row>
    <row r="7" spans="1:17" x14ac:dyDescent="0.25">
      <c r="B7" s="57" t="s">
        <v>56</v>
      </c>
      <c r="C7" s="57" t="s">
        <v>57</v>
      </c>
      <c r="D7" s="57" t="s">
        <v>58</v>
      </c>
      <c r="E7" s="57" t="s">
        <v>70</v>
      </c>
      <c r="F7" s="57" t="s">
        <v>71</v>
      </c>
      <c r="G7" s="57" t="s">
        <v>72</v>
      </c>
      <c r="K7" s="57" t="s">
        <v>56</v>
      </c>
      <c r="L7" s="57" t="s">
        <v>57</v>
      </c>
      <c r="M7" s="57" t="s">
        <v>58</v>
      </c>
      <c r="N7" s="57" t="s">
        <v>70</v>
      </c>
      <c r="O7" s="57" t="s">
        <v>71</v>
      </c>
      <c r="P7" s="57" t="s">
        <v>72</v>
      </c>
    </row>
    <row r="8" spans="1:17" ht="15.75" x14ac:dyDescent="0.25">
      <c r="B8" s="57" t="s">
        <v>99</v>
      </c>
      <c r="C8" s="57" t="s">
        <v>99</v>
      </c>
      <c r="D8" s="57" t="s">
        <v>99</v>
      </c>
      <c r="E8" s="57" t="s">
        <v>99</v>
      </c>
      <c r="F8" s="57" t="s">
        <v>99</v>
      </c>
      <c r="G8" s="57" t="s">
        <v>99</v>
      </c>
      <c r="J8" s="68" t="s">
        <v>166</v>
      </c>
      <c r="K8" s="53">
        <f>(B34/0.237)/(B38/0.153)</f>
        <v>4.8699628891114841</v>
      </c>
      <c r="L8" s="53">
        <f t="shared" ref="L8:P8" si="0">(C34/0.237)/(C38/0.153)</f>
        <v>5.1635241264394542</v>
      </c>
      <c r="M8" s="53">
        <f t="shared" si="0"/>
        <v>3.9114146792875717</v>
      </c>
      <c r="N8" s="53">
        <f t="shared" si="0"/>
        <v>4.7902772255984098</v>
      </c>
      <c r="O8" s="53">
        <f t="shared" si="0"/>
        <v>5.0981688558133644</v>
      </c>
      <c r="P8" s="53">
        <f t="shared" si="0"/>
        <v>7.1225079615631284</v>
      </c>
      <c r="Q8" s="69"/>
    </row>
    <row r="9" spans="1:17" ht="15.75" x14ac:dyDescent="0.25">
      <c r="A9" t="s">
        <v>73</v>
      </c>
      <c r="B9" s="53">
        <v>1.7282589942486726</v>
      </c>
      <c r="C9" s="53">
        <v>16.520837703358524</v>
      </c>
      <c r="D9" s="53">
        <v>4.1427930065326626</v>
      </c>
      <c r="E9" s="53">
        <v>8.6760524784346273</v>
      </c>
      <c r="F9" s="53">
        <v>22.844190260904078</v>
      </c>
      <c r="G9" s="53">
        <v>70.442921491557897</v>
      </c>
      <c r="J9" s="68" t="s">
        <v>167</v>
      </c>
      <c r="K9" s="53">
        <f>(B34/0.237)/(B46/0.17)</f>
        <v>14.342435135458276</v>
      </c>
      <c r="L9" s="53">
        <f t="shared" ref="L9:P9" si="1">(C34/0.237)/(C46/0.17)</f>
        <v>65.559053091702566</v>
      </c>
      <c r="M9" s="53">
        <f t="shared" si="1"/>
        <v>27.002731525677959</v>
      </c>
      <c r="N9" s="53">
        <f t="shared" si="1"/>
        <v>40.25930812058408</v>
      </c>
      <c r="O9" s="53">
        <f t="shared" si="1"/>
        <v>49.562767877982829</v>
      </c>
      <c r="P9" s="53">
        <f t="shared" si="1"/>
        <v>25.615921909904682</v>
      </c>
      <c r="Q9" s="69"/>
    </row>
    <row r="10" spans="1:17" ht="15.75" x14ac:dyDescent="0.25">
      <c r="A10" t="s">
        <v>74</v>
      </c>
      <c r="B10" s="53">
        <v>1.5623616412795569</v>
      </c>
      <c r="C10" s="53">
        <v>0.98134316959646095</v>
      </c>
      <c r="D10" s="53">
        <v>2.6032940352057139</v>
      </c>
      <c r="E10" s="53">
        <v>3.1039982398981496</v>
      </c>
      <c r="F10" s="53">
        <v>1.5332502847523075</v>
      </c>
      <c r="G10" s="53">
        <v>2.229445779479343</v>
      </c>
      <c r="J10" s="68" t="s">
        <v>168</v>
      </c>
      <c r="K10" s="53">
        <f>(B40/0.2055)/(B46/0.17)</f>
        <v>1.9309932174405098</v>
      </c>
      <c r="L10" s="53">
        <f t="shared" ref="L10:P10" si="2">(C40/0.2055)/(C46/0.17)</f>
        <v>6.4373423740643929</v>
      </c>
      <c r="M10" s="53">
        <f t="shared" si="2"/>
        <v>3.9575539965720736</v>
      </c>
      <c r="N10" s="53">
        <f t="shared" si="2"/>
        <v>4.2489352877243807</v>
      </c>
      <c r="O10" s="53">
        <f t="shared" si="2"/>
        <v>5.1322383887563108</v>
      </c>
      <c r="P10" s="53">
        <f t="shared" si="2"/>
        <v>1.6912854627395713</v>
      </c>
      <c r="Q10" s="69"/>
    </row>
    <row r="11" spans="1:17" ht="15.75" x14ac:dyDescent="0.25">
      <c r="A11" t="s">
        <v>75</v>
      </c>
      <c r="B11" s="19">
        <v>1913.3635287283089</v>
      </c>
      <c r="C11" s="19">
        <v>7714.1653327598588</v>
      </c>
      <c r="D11" s="19">
        <v>10694.791028177307</v>
      </c>
      <c r="E11" s="19">
        <v>3891.5068904882755</v>
      </c>
      <c r="F11" s="19">
        <v>1613.0609951264557</v>
      </c>
      <c r="G11" s="19">
        <v>9988.1693181854116</v>
      </c>
      <c r="J11" s="68" t="s">
        <v>179</v>
      </c>
      <c r="K11" s="54">
        <f>(B39/0.058)/(0.5*((B38/0.153)+(B40/0.2055)))</f>
        <v>1.5375051720521382</v>
      </c>
      <c r="L11" s="54">
        <f t="shared" ref="L11:P11" si="3">(C39/0.058)/(0.5*((C38/0.153)+(C40/0.2055)))</f>
        <v>0.54348588524994335</v>
      </c>
      <c r="M11" s="54">
        <f t="shared" si="3"/>
        <v>0.33875362558654554</v>
      </c>
      <c r="N11" s="54">
        <f t="shared" si="3"/>
        <v>1.2155315744490971</v>
      </c>
      <c r="O11" s="54">
        <f t="shared" si="3"/>
        <v>0.30581175104748326</v>
      </c>
      <c r="P11" s="54">
        <f t="shared" si="3"/>
        <v>1.2574313855675789</v>
      </c>
      <c r="Q11" s="69"/>
    </row>
    <row r="12" spans="1:17" ht="15.75" x14ac:dyDescent="0.25">
      <c r="A12" t="s">
        <v>18</v>
      </c>
      <c r="B12" s="53">
        <v>1.4009075041889418</v>
      </c>
      <c r="C12" s="53">
        <v>3.1737936136802376</v>
      </c>
      <c r="D12" s="53">
        <v>3.949054443778544</v>
      </c>
      <c r="E12" s="53">
        <v>0.70406332269588545</v>
      </c>
      <c r="F12" s="53">
        <v>0.55859301763083058</v>
      </c>
      <c r="G12" s="53">
        <v>6.3900631455245165</v>
      </c>
      <c r="J12" s="68" t="s">
        <v>169</v>
      </c>
      <c r="K12" s="53">
        <f>B25/B48</f>
        <v>37.674606371559477</v>
      </c>
      <c r="L12" s="53">
        <f t="shared" ref="L12:P12" si="4">C25/C48</f>
        <v>33.01105701526054</v>
      </c>
      <c r="M12" s="53">
        <f t="shared" si="4"/>
        <v>38.435706890432208</v>
      </c>
      <c r="N12" s="53">
        <f t="shared" si="4"/>
        <v>29.027660543136758</v>
      </c>
      <c r="O12" s="53">
        <f t="shared" si="4"/>
        <v>35.365586020721146</v>
      </c>
      <c r="P12" s="53">
        <f t="shared" si="4"/>
        <v>33.817421891651421</v>
      </c>
      <c r="Q12" s="69"/>
    </row>
    <row r="13" spans="1:17" ht="15.75" x14ac:dyDescent="0.25">
      <c r="A13" t="s">
        <v>76</v>
      </c>
      <c r="B13" s="19">
        <v>507.04846995112638</v>
      </c>
      <c r="C13" s="19">
        <v>2025.1431082155211</v>
      </c>
      <c r="D13" s="19">
        <v>2488.861108125081</v>
      </c>
      <c r="E13" s="19">
        <v>307.76113016674657</v>
      </c>
      <c r="F13" s="19">
        <v>255.3570779081042</v>
      </c>
      <c r="G13" s="19">
        <v>5156.2405517581274</v>
      </c>
      <c r="J13" s="68" t="s">
        <v>170</v>
      </c>
      <c r="K13" s="53">
        <f>B26/B49</f>
        <v>32.14633177826996</v>
      </c>
      <c r="L13" s="53">
        <f t="shared" ref="L13:P13" si="5">C26/C49</f>
        <v>24.738866338024348</v>
      </c>
      <c r="M13" s="53">
        <f t="shared" si="5"/>
        <v>31.298294286105662</v>
      </c>
      <c r="N13" s="53">
        <f t="shared" si="5"/>
        <v>8.1016941848577666</v>
      </c>
      <c r="O13" s="53">
        <f t="shared" si="5"/>
        <v>10.880609087488638</v>
      </c>
      <c r="P13" s="53">
        <f t="shared" si="5"/>
        <v>18.45605997470377</v>
      </c>
      <c r="Q13" s="69"/>
    </row>
    <row r="14" spans="1:17" ht="15.75" x14ac:dyDescent="0.25">
      <c r="A14" t="s">
        <v>20</v>
      </c>
      <c r="B14" s="53">
        <v>1.8737400369916721</v>
      </c>
      <c r="C14" s="53">
        <v>29.494175844848392</v>
      </c>
      <c r="D14" s="53">
        <v>17.317222509396352</v>
      </c>
      <c r="E14" s="53">
        <v>3.2580426212125086</v>
      </c>
      <c r="F14" s="53">
        <v>2.8147424580942637</v>
      </c>
      <c r="G14" s="19">
        <v>68.097858676105474</v>
      </c>
      <c r="J14" s="68" t="s">
        <v>171</v>
      </c>
      <c r="K14" s="53">
        <f>B55/B56</f>
        <v>3.730819448618524</v>
      </c>
      <c r="L14" s="53">
        <f t="shared" ref="L14:P14" si="6">C55/C56</f>
        <v>20.947455819075529</v>
      </c>
      <c r="M14" s="53">
        <f t="shared" si="6"/>
        <v>14.570235331745167</v>
      </c>
      <c r="N14" s="53">
        <f t="shared" si="6"/>
        <v>18.618117787819191</v>
      </c>
      <c r="O14" s="53">
        <f t="shared" si="6"/>
        <v>20.577989769017673</v>
      </c>
      <c r="P14" s="53">
        <f t="shared" si="6"/>
        <v>12.851602038282659</v>
      </c>
      <c r="Q14" s="69"/>
    </row>
    <row r="15" spans="1:17" ht="15.75" x14ac:dyDescent="0.25">
      <c r="A15" t="s">
        <v>21</v>
      </c>
      <c r="B15" s="53">
        <v>1.8721135819023269</v>
      </c>
      <c r="C15" s="53">
        <v>1.8793661481061197</v>
      </c>
      <c r="D15" s="53">
        <v>5.2942586556063747</v>
      </c>
      <c r="E15" s="53">
        <v>4.9699010556089451</v>
      </c>
      <c r="F15" s="53">
        <v>1.7085279553572883</v>
      </c>
      <c r="G15" s="19">
        <v>163.62489194715556</v>
      </c>
      <c r="J15" s="68" t="s">
        <v>172</v>
      </c>
      <c r="K15" s="53">
        <f>B24/B43</f>
        <v>21.937427255467878</v>
      </c>
      <c r="L15" s="53">
        <f t="shared" ref="L15:P15" si="7">C24/C43</f>
        <v>24.77787247231781</v>
      </c>
      <c r="M15" s="53">
        <f t="shared" si="7"/>
        <v>21.534568039883816</v>
      </c>
      <c r="N15" s="53">
        <f t="shared" si="7"/>
        <v>27.515276568581879</v>
      </c>
      <c r="O15" s="53">
        <f t="shared" si="7"/>
        <v>26.512212722282253</v>
      </c>
      <c r="P15" s="53">
        <f t="shared" si="7"/>
        <v>30.531195839563832</v>
      </c>
      <c r="Q15" s="69"/>
    </row>
    <row r="16" spans="1:17" x14ac:dyDescent="0.25">
      <c r="A16" t="s">
        <v>77</v>
      </c>
      <c r="B16" s="53">
        <v>0.95014164989558747</v>
      </c>
      <c r="C16" s="53">
        <v>3.1868380976625006</v>
      </c>
      <c r="D16" s="53">
        <v>3.5254382841714147</v>
      </c>
      <c r="E16" s="53">
        <v>0.59773271956468255</v>
      </c>
      <c r="F16" s="53">
        <v>0.61905314365880582</v>
      </c>
      <c r="G16" s="53">
        <v>13.629561043894007</v>
      </c>
      <c r="J16" t="s">
        <v>173</v>
      </c>
      <c r="K16" s="53">
        <f>B34/B26</f>
        <v>7.5194129253965034</v>
      </c>
      <c r="L16" s="53">
        <f t="shared" ref="L16:P16" si="8">C34/C26</f>
        <v>8.2555730856035137</v>
      </c>
      <c r="M16" s="53">
        <f t="shared" si="8"/>
        <v>3.2253259376514345</v>
      </c>
      <c r="N16" s="53">
        <f t="shared" si="8"/>
        <v>9.3116993468044971</v>
      </c>
      <c r="O16" s="53">
        <f t="shared" si="8"/>
        <v>17.65712410884856</v>
      </c>
      <c r="P16" s="53">
        <f t="shared" si="8"/>
        <v>1.567337358927454</v>
      </c>
      <c r="Q16" s="69"/>
    </row>
    <row r="17" spans="1:17" x14ac:dyDescent="0.25">
      <c r="A17" t="s">
        <v>22</v>
      </c>
      <c r="B17" s="53">
        <v>3.9276191061521488</v>
      </c>
      <c r="C17" s="53">
        <v>2.1563974724997212</v>
      </c>
      <c r="D17" s="53">
        <v>17.581189409172161</v>
      </c>
      <c r="E17" s="53">
        <v>2.1704666923120266</v>
      </c>
      <c r="F17" s="53">
        <v>1.7606270826039061</v>
      </c>
      <c r="G17" s="53">
        <v>31.523460170261874</v>
      </c>
      <c r="J17" t="s">
        <v>174</v>
      </c>
      <c r="K17" s="53">
        <f>B55/B26</f>
        <v>0.6539409319218219</v>
      </c>
      <c r="L17" s="53">
        <f t="shared" ref="L17:P17" si="9">C55/C26</f>
        <v>5.3986295906958155</v>
      </c>
      <c r="M17" s="53">
        <f t="shared" si="9"/>
        <v>0.52348097827147</v>
      </c>
      <c r="N17" s="53">
        <f t="shared" si="9"/>
        <v>5.953856281572099</v>
      </c>
      <c r="O17" s="53">
        <f t="shared" si="9"/>
        <v>12.269214403558916</v>
      </c>
      <c r="P17" s="53">
        <f t="shared" si="9"/>
        <v>0.82927173269114673</v>
      </c>
      <c r="Q17" s="69"/>
    </row>
    <row r="18" spans="1:17" x14ac:dyDescent="0.25">
      <c r="A18" t="s">
        <v>23</v>
      </c>
      <c r="B18" s="53">
        <v>4.2695534653870366</v>
      </c>
      <c r="C18" s="53">
        <v>2.4371439252404792</v>
      </c>
      <c r="D18" s="53">
        <v>3.2007412139905198</v>
      </c>
      <c r="E18" s="53">
        <v>1.8526848900267172</v>
      </c>
      <c r="F18" s="53">
        <v>1.0830575930947544</v>
      </c>
      <c r="G18" s="53">
        <v>6.4431610959067021</v>
      </c>
      <c r="Q18" s="69"/>
    </row>
    <row r="19" spans="1:17" x14ac:dyDescent="0.25">
      <c r="A19" t="s">
        <v>24</v>
      </c>
      <c r="B19" s="53">
        <v>26.645188028321794</v>
      </c>
      <c r="C19" s="53">
        <v>39.63284177933172</v>
      </c>
      <c r="D19" s="53">
        <v>81.898530841909789</v>
      </c>
      <c r="E19" s="53">
        <v>8.5907054657545583</v>
      </c>
      <c r="F19" s="53">
        <v>7.2192287652751013</v>
      </c>
      <c r="G19" s="53">
        <v>77.562820652199093</v>
      </c>
      <c r="J19" t="s">
        <v>175</v>
      </c>
      <c r="K19" s="53">
        <f>K16/0.9848</f>
        <v>7.6354721013368234</v>
      </c>
      <c r="L19" s="53">
        <f t="shared" ref="L19:P19" si="10">L16/0.9848</f>
        <v>8.3829946035778971</v>
      </c>
      <c r="M19" s="53">
        <f t="shared" si="10"/>
        <v>3.2751075727573462</v>
      </c>
      <c r="N19" s="53">
        <f t="shared" si="10"/>
        <v>9.4554217575187831</v>
      </c>
      <c r="O19" s="53">
        <f t="shared" si="10"/>
        <v>17.92965486276255</v>
      </c>
      <c r="P19" s="53">
        <f t="shared" si="10"/>
        <v>1.5915285935494048</v>
      </c>
      <c r="Q19" s="69"/>
    </row>
    <row r="20" spans="1:17" x14ac:dyDescent="0.25">
      <c r="A20" t="s">
        <v>25</v>
      </c>
      <c r="B20" s="53">
        <v>21.696182937305004</v>
      </c>
      <c r="C20" s="53">
        <v>15.417596129526656</v>
      </c>
      <c r="D20" s="53">
        <v>19.105548645148509</v>
      </c>
      <c r="E20" s="53">
        <v>12.688327931227523</v>
      </c>
      <c r="F20" s="53">
        <v>2.4789465482245658</v>
      </c>
      <c r="G20" s="53">
        <v>22.014643767391391</v>
      </c>
      <c r="J20" t="s">
        <v>176</v>
      </c>
      <c r="K20" s="53">
        <f>K17/0.1208</f>
        <v>5.4134183106111085</v>
      </c>
      <c r="L20" s="53">
        <f t="shared" ref="L20:P20" si="11">L17/0.1208</f>
        <v>44.690642307084566</v>
      </c>
      <c r="M20" s="53">
        <f t="shared" si="11"/>
        <v>4.3334518068830299</v>
      </c>
      <c r="N20" s="53">
        <f t="shared" si="11"/>
        <v>49.286889748113403</v>
      </c>
      <c r="O20" s="53">
        <f t="shared" si="11"/>
        <v>101.56634440032215</v>
      </c>
      <c r="P20" s="53">
        <f t="shared" si="11"/>
        <v>6.8648322242644593</v>
      </c>
      <c r="Q20" s="69"/>
    </row>
    <row r="21" spans="1:17" x14ac:dyDescent="0.25">
      <c r="A21" t="s">
        <v>26</v>
      </c>
      <c r="B21" s="54">
        <v>0.36987942069518787</v>
      </c>
      <c r="C21" s="54">
        <v>0.21783786174372125</v>
      </c>
      <c r="D21" s="54">
        <v>1.4784924672266475</v>
      </c>
      <c r="E21" s="54">
        <v>0.17546997782589924</v>
      </c>
      <c r="F21" s="54">
        <v>7.6564719159016609E-2</v>
      </c>
      <c r="G21" s="54">
        <v>0.15022185543742453</v>
      </c>
      <c r="Q21" s="69"/>
    </row>
    <row r="22" spans="1:17" x14ac:dyDescent="0.25">
      <c r="A22" t="s">
        <v>27</v>
      </c>
      <c r="B22" s="53">
        <v>134.48019753522468</v>
      </c>
      <c r="C22" s="53">
        <v>228.10959300223229</v>
      </c>
      <c r="D22" s="53">
        <v>171.29311607692031</v>
      </c>
      <c r="E22" s="53">
        <v>409.4997059974221</v>
      </c>
      <c r="F22" s="53">
        <v>123.26465483069225</v>
      </c>
      <c r="G22" s="53">
        <v>315.91340073288626</v>
      </c>
      <c r="J22" t="s">
        <v>177</v>
      </c>
      <c r="K22" s="53">
        <f>B35/B52</f>
        <v>5.2030079292498179</v>
      </c>
      <c r="L22" s="53">
        <f t="shared" ref="L22:P22" si="12">C35/C52</f>
        <v>2.716948906153549</v>
      </c>
      <c r="M22" s="53">
        <f t="shared" si="12"/>
        <v>14.176100926624313</v>
      </c>
      <c r="N22" s="53">
        <f t="shared" si="12"/>
        <v>0.89988554496993789</v>
      </c>
      <c r="O22" s="53">
        <f t="shared" si="12"/>
        <v>5.2590797830701481</v>
      </c>
      <c r="P22" s="53">
        <f t="shared" si="12"/>
        <v>1.5755776696612458</v>
      </c>
      <c r="Q22" s="69"/>
    </row>
    <row r="23" spans="1:17" x14ac:dyDescent="0.25">
      <c r="A23" t="s">
        <v>28</v>
      </c>
      <c r="B23" s="54">
        <v>47.99638194665846</v>
      </c>
      <c r="C23" s="53">
        <v>281.57102822300891</v>
      </c>
      <c r="D23" s="54">
        <v>77.473371027841807</v>
      </c>
      <c r="E23" s="53">
        <v>211.52073986820636</v>
      </c>
      <c r="F23" s="54">
        <v>69.141809598743649</v>
      </c>
      <c r="G23" s="53">
        <v>156.58497065981621</v>
      </c>
      <c r="J23" t="s">
        <v>178</v>
      </c>
      <c r="K23" s="53">
        <f>B26/B56</f>
        <v>5.705132170965773</v>
      </c>
      <c r="L23" s="53">
        <f t="shared" ref="L23:P23" si="13">C26/C56</f>
        <v>3.8801431858146183</v>
      </c>
      <c r="M23" s="53">
        <f t="shared" si="13"/>
        <v>27.833361548027909</v>
      </c>
      <c r="N23" s="53">
        <f t="shared" si="13"/>
        <v>3.1270687277831182</v>
      </c>
      <c r="O23" s="53">
        <f t="shared" si="13"/>
        <v>1.6772051650714197</v>
      </c>
      <c r="P23" s="53">
        <f t="shared" si="13"/>
        <v>15.497455817741105</v>
      </c>
    </row>
    <row r="24" spans="1:17" x14ac:dyDescent="0.25">
      <c r="A24" t="s">
        <v>29</v>
      </c>
      <c r="B24" s="54">
        <v>14.038111331613703</v>
      </c>
      <c r="C24" s="54">
        <v>11.512870433165338</v>
      </c>
      <c r="D24" s="54">
        <v>55.991793673074298</v>
      </c>
      <c r="E24" s="54">
        <v>10.950375057126349</v>
      </c>
      <c r="F24" s="54">
        <v>14.018339550592485</v>
      </c>
      <c r="G24" s="54">
        <v>8.1014506601128176</v>
      </c>
    </row>
    <row r="25" spans="1:17" x14ac:dyDescent="0.25">
      <c r="A25" t="s">
        <v>30</v>
      </c>
      <c r="B25" s="53">
        <v>182.41114641707415</v>
      </c>
      <c r="C25" s="53">
        <v>215.74720115644618</v>
      </c>
      <c r="D25" s="19">
        <v>767.41212386165012</v>
      </c>
      <c r="E25" s="53">
        <v>65.089832483156684</v>
      </c>
      <c r="F25" s="53">
        <v>48.839791913706719</v>
      </c>
      <c r="G25" s="19">
        <v>544.61995896317114</v>
      </c>
    </row>
    <row r="26" spans="1:17" x14ac:dyDescent="0.25">
      <c r="A26" t="s">
        <v>31</v>
      </c>
      <c r="B26" s="53">
        <v>4.2795478359893027</v>
      </c>
      <c r="C26" s="53">
        <v>7.726748830274401</v>
      </c>
      <c r="D26" s="53">
        <v>49.694172566195135</v>
      </c>
      <c r="E26" s="53">
        <v>4.8680972246148055</v>
      </c>
      <c r="F26" s="53">
        <v>3.3665836344255693</v>
      </c>
      <c r="G26" s="53">
        <v>25.92670930471737</v>
      </c>
    </row>
    <row r="27" spans="1:17" ht="15.75" x14ac:dyDescent="0.25">
      <c r="A27" t="s">
        <v>32</v>
      </c>
      <c r="B27" s="53">
        <v>0.5538391299619384</v>
      </c>
      <c r="C27" s="53">
        <v>0.23490827561351277</v>
      </c>
      <c r="D27" s="53">
        <v>4.2083440877280891</v>
      </c>
      <c r="E27" s="53">
        <v>2.8015057732523698</v>
      </c>
      <c r="F27" s="53">
        <v>0.1669969276829236</v>
      </c>
      <c r="G27" s="53">
        <v>0.17899554815210059</v>
      </c>
      <c r="J27" s="70"/>
      <c r="K27" s="71"/>
    </row>
    <row r="28" spans="1:17" ht="15.75" x14ac:dyDescent="0.25">
      <c r="A28" t="s">
        <v>78</v>
      </c>
      <c r="B28" s="54">
        <v>1.0799216788757948E-2</v>
      </c>
      <c r="C28" s="54">
        <v>1.6165416726816245E-2</v>
      </c>
      <c r="D28" s="54">
        <v>6.368537713079768E-2</v>
      </c>
      <c r="E28" s="54">
        <v>2.6992299594760016E-2</v>
      </c>
      <c r="F28" s="54">
        <v>6.823969532654124E-3</v>
      </c>
      <c r="G28" s="54">
        <v>2.2791236379906359E-2</v>
      </c>
      <c r="J28" s="70"/>
      <c r="K28" s="71"/>
    </row>
    <row r="29" spans="1:17" x14ac:dyDescent="0.25">
      <c r="A29" t="s">
        <v>79</v>
      </c>
      <c r="B29" s="54">
        <v>7.3934273352813093E-2</v>
      </c>
      <c r="C29" s="54">
        <v>3.2108189007531165E-2</v>
      </c>
      <c r="D29" s="54">
        <v>0.17812432428988262</v>
      </c>
      <c r="E29" s="54">
        <v>4.2780671703443037E-3</v>
      </c>
      <c r="F29" s="54">
        <v>4.4052722251083634E-3</v>
      </c>
      <c r="G29" s="54">
        <v>5.906963641116765E-2</v>
      </c>
    </row>
    <row r="30" spans="1:17" x14ac:dyDescent="0.25">
      <c r="A30" t="s">
        <v>33</v>
      </c>
      <c r="B30" s="54">
        <v>1.037814480331904</v>
      </c>
      <c r="C30" s="54">
        <v>4.0865206710851378</v>
      </c>
      <c r="D30" s="54">
        <v>1.0678874035694244</v>
      </c>
      <c r="E30" s="54">
        <v>2.0043163073431041</v>
      </c>
      <c r="F30" s="54">
        <v>1.1007668528386447</v>
      </c>
      <c r="G30" s="54">
        <v>6.5792880743122355</v>
      </c>
    </row>
    <row r="31" spans="1:17" x14ac:dyDescent="0.25">
      <c r="A31" t="s">
        <v>80</v>
      </c>
      <c r="B31" s="54">
        <v>2.047570652714541E-2</v>
      </c>
      <c r="C31" s="54">
        <v>3.1600012661435826E-2</v>
      </c>
      <c r="D31" s="54">
        <v>0.11642360032472396</v>
      </c>
      <c r="E31" s="54">
        <v>2.0165690425863605E-2</v>
      </c>
      <c r="F31" s="54">
        <v>1.3849484828170913E-2</v>
      </c>
      <c r="G31" s="54">
        <v>3.0388652281207105E-2</v>
      </c>
    </row>
    <row r="32" spans="1:17" x14ac:dyDescent="0.25">
      <c r="A32" t="s">
        <v>81</v>
      </c>
      <c r="B32" s="54">
        <v>0.27428914217478545</v>
      </c>
      <c r="C32" s="54">
        <v>1.2866581461250663</v>
      </c>
      <c r="D32" s="54">
        <v>0.56245208140132186</v>
      </c>
      <c r="E32" s="54">
        <v>3.2765832229749234</v>
      </c>
      <c r="F32" s="54">
        <v>0.91086634879416795</v>
      </c>
      <c r="G32" s="54">
        <v>4.2698862388499519</v>
      </c>
    </row>
    <row r="33" spans="1:7" x14ac:dyDescent="0.25">
      <c r="A33" t="s">
        <v>19</v>
      </c>
      <c r="B33" s="19">
        <v>924.01665435995108</v>
      </c>
      <c r="C33" s="19">
        <v>1068.3662759148499</v>
      </c>
      <c r="D33" s="19">
        <v>436.54705381636859</v>
      </c>
      <c r="E33" s="19">
        <v>1620.2068758673772</v>
      </c>
      <c r="F33" s="53">
        <v>287.2240789537438</v>
      </c>
      <c r="G33" s="19">
        <v>696.29097909161328</v>
      </c>
    </row>
    <row r="34" spans="1:7" x14ac:dyDescent="0.25">
      <c r="A34" t="s">
        <v>36</v>
      </c>
      <c r="B34" s="54">
        <v>32.179687312790598</v>
      </c>
      <c r="C34" s="54">
        <v>63.788739682431782</v>
      </c>
      <c r="D34" s="54">
        <v>160.27990372787551</v>
      </c>
      <c r="E34" s="54">
        <v>45.330257746626472</v>
      </c>
      <c r="F34" s="54">
        <v>59.444185055870726</v>
      </c>
      <c r="G34" s="54">
        <v>40.635900087335571</v>
      </c>
    </row>
    <row r="35" spans="1:7" x14ac:dyDescent="0.25">
      <c r="A35" t="s">
        <v>37</v>
      </c>
      <c r="B35" s="54">
        <v>60.098644335143931</v>
      </c>
      <c r="C35" s="53">
        <v>128.99318062653526</v>
      </c>
      <c r="D35" s="53">
        <v>350.18608073898264</v>
      </c>
      <c r="E35" s="54">
        <v>90.183891642611471</v>
      </c>
      <c r="F35" s="53">
        <v>120.70425574930557</v>
      </c>
      <c r="G35" s="54">
        <v>75.553270126355855</v>
      </c>
    </row>
    <row r="36" spans="1:7" x14ac:dyDescent="0.25">
      <c r="A36" t="s">
        <v>82</v>
      </c>
      <c r="B36" s="54">
        <v>6.5194520374779827</v>
      </c>
      <c r="C36" s="54">
        <v>14.100007231034589</v>
      </c>
      <c r="D36" s="54">
        <v>40.862813733339479</v>
      </c>
      <c r="E36" s="54">
        <v>9.817529075351743</v>
      </c>
      <c r="F36" s="54">
        <v>13.301283033902335</v>
      </c>
      <c r="G36" s="54">
        <v>7.5644356559461015</v>
      </c>
    </row>
    <row r="37" spans="1:7" x14ac:dyDescent="0.25">
      <c r="A37" t="s">
        <v>38</v>
      </c>
      <c r="B37" s="54">
        <v>22.913787824768782</v>
      </c>
      <c r="C37" s="54">
        <v>47.817458904269756</v>
      </c>
      <c r="D37" s="53">
        <v>149.14279424332733</v>
      </c>
      <c r="E37" s="54">
        <v>31.677490883170659</v>
      </c>
      <c r="F37" s="54">
        <v>44.464077488449412</v>
      </c>
      <c r="G37" s="54">
        <v>24.502999345108041</v>
      </c>
    </row>
    <row r="38" spans="1:7" x14ac:dyDescent="0.25">
      <c r="A38" t="s">
        <v>83</v>
      </c>
      <c r="B38" s="54">
        <v>4.2657878491911925</v>
      </c>
      <c r="C38" s="54">
        <v>7.9751873807185003</v>
      </c>
      <c r="D38" s="54">
        <v>26.453814046294067</v>
      </c>
      <c r="E38" s="54">
        <v>6.1090070368134137</v>
      </c>
      <c r="F38" s="54">
        <v>7.5272830418353971</v>
      </c>
      <c r="G38" s="54">
        <v>3.6831552494705133</v>
      </c>
    </row>
    <row r="39" spans="1:7" x14ac:dyDescent="0.25">
      <c r="A39" t="s">
        <v>84</v>
      </c>
      <c r="B39" s="54">
        <v>2.0582374176028004</v>
      </c>
      <c r="C39" s="54">
        <v>1.2380924776231703</v>
      </c>
      <c r="D39" s="54">
        <v>2.6722668029630015</v>
      </c>
      <c r="E39" s="54">
        <v>2.119054337748115</v>
      </c>
      <c r="F39" s="54">
        <v>0.66665123809317206</v>
      </c>
      <c r="G39" s="54">
        <v>1.2906414702605717</v>
      </c>
    </row>
    <row r="40" spans="1:7" x14ac:dyDescent="0.25">
      <c r="A40" t="s">
        <v>85</v>
      </c>
      <c r="B40" s="54">
        <v>3.7566709273083072</v>
      </c>
      <c r="C40" s="54">
        <v>5.4310204436133969</v>
      </c>
      <c r="D40" s="54">
        <v>20.368624581891076</v>
      </c>
      <c r="E40" s="54">
        <v>4.14825531563275</v>
      </c>
      <c r="F40" s="54">
        <v>5.3373308739894929</v>
      </c>
      <c r="G40" s="54">
        <v>2.3263780384927286</v>
      </c>
    </row>
    <row r="41" spans="1:7" x14ac:dyDescent="0.25">
      <c r="A41" t="s">
        <v>86</v>
      </c>
      <c r="B41" s="54">
        <v>0.58632567525643131</v>
      </c>
      <c r="C41" s="54">
        <v>0.65845786851765964</v>
      </c>
      <c r="D41" s="54">
        <v>2.8164690375370034</v>
      </c>
      <c r="E41" s="54">
        <v>0.55503732405865447</v>
      </c>
      <c r="F41" s="54">
        <v>0.70554600540576373</v>
      </c>
      <c r="G41" s="54">
        <v>0.28896417680241804</v>
      </c>
    </row>
    <row r="42" spans="1:7" x14ac:dyDescent="0.25">
      <c r="A42" t="s">
        <v>87</v>
      </c>
      <c r="B42" s="54">
        <v>3.3177030427216647</v>
      </c>
      <c r="C42" s="54">
        <v>2.9380397961432601</v>
      </c>
      <c r="D42" s="54">
        <v>14.483042896392419</v>
      </c>
      <c r="E42" s="54">
        <v>2.486710605069073</v>
      </c>
      <c r="F42" s="54">
        <v>3.2894180248339158</v>
      </c>
      <c r="G42" s="54">
        <v>1.3976511082525835</v>
      </c>
    </row>
    <row r="43" spans="1:7" x14ac:dyDescent="0.25">
      <c r="A43" t="s">
        <v>88</v>
      </c>
      <c r="B43" s="54">
        <v>0.63991602880938192</v>
      </c>
      <c r="C43" s="54">
        <v>0.4646432193089895</v>
      </c>
      <c r="D43" s="54">
        <v>2.6000890089540141</v>
      </c>
      <c r="E43" s="54">
        <v>0.39797437724576451</v>
      </c>
      <c r="F43" s="54">
        <v>0.52875026680857673</v>
      </c>
      <c r="G43" s="54">
        <v>0.26534992938647223</v>
      </c>
    </row>
    <row r="44" spans="1:7" x14ac:dyDescent="0.25">
      <c r="A44" t="s">
        <v>89</v>
      </c>
      <c r="B44" s="54">
        <v>1.6545277281614024</v>
      </c>
      <c r="C44" s="54">
        <v>1.0088767644714784</v>
      </c>
      <c r="D44" s="54">
        <v>6.1287648494354992</v>
      </c>
      <c r="E44" s="54">
        <v>0.95122540859103089</v>
      </c>
      <c r="F44" s="54">
        <v>1.1853581362974215</v>
      </c>
      <c r="G44" s="54">
        <v>0.81776369751688993</v>
      </c>
    </row>
    <row r="45" spans="1:7" x14ac:dyDescent="0.25">
      <c r="A45" t="s">
        <v>90</v>
      </c>
      <c r="B45" s="54">
        <v>0.24080354539581184</v>
      </c>
      <c r="C45" s="54">
        <v>0.12092036105260676</v>
      </c>
      <c r="D45" s="54">
        <v>0.76335269673340689</v>
      </c>
      <c r="E45" s="54">
        <v>0.1323468930334091</v>
      </c>
      <c r="F45" s="54">
        <v>0.14916226797216869</v>
      </c>
      <c r="G45" s="54">
        <v>0.14663662363859917</v>
      </c>
    </row>
    <row r="46" spans="1:7" x14ac:dyDescent="0.25">
      <c r="A46" t="s">
        <v>91</v>
      </c>
      <c r="B46" s="54">
        <v>1.6093833378734692</v>
      </c>
      <c r="C46" s="54">
        <v>0.69793009357725633</v>
      </c>
      <c r="D46" s="54">
        <v>4.2576695326554459</v>
      </c>
      <c r="E46" s="54">
        <v>0.80764862271290327</v>
      </c>
      <c r="F46" s="54">
        <v>0.860308870634786</v>
      </c>
      <c r="G46" s="54">
        <v>1.1378904920625152</v>
      </c>
    </row>
    <row r="47" spans="1:7" x14ac:dyDescent="0.25">
      <c r="A47" t="s">
        <v>92</v>
      </c>
      <c r="B47" s="54">
        <v>0.24503632278403431</v>
      </c>
      <c r="C47" s="54">
        <v>0.10281158664609717</v>
      </c>
      <c r="D47" s="54">
        <v>0.56711780902546072</v>
      </c>
      <c r="E47" s="54">
        <v>0.10775139785391685</v>
      </c>
      <c r="F47" s="54">
        <v>0.11080136451104425</v>
      </c>
      <c r="G47" s="54">
        <v>0.19255116389631333</v>
      </c>
    </row>
    <row r="48" spans="1:7" x14ac:dyDescent="0.25">
      <c r="A48" t="s">
        <v>68</v>
      </c>
      <c r="B48" s="54">
        <v>4.8417532121789106</v>
      </c>
      <c r="C48" s="54">
        <v>6.5356041479286571</v>
      </c>
      <c r="D48" s="54">
        <v>19.966124886145437</v>
      </c>
      <c r="E48" s="54">
        <v>2.2423382134577978</v>
      </c>
      <c r="F48" s="54">
        <v>1.3809976705911466</v>
      </c>
      <c r="G48" s="54">
        <v>16.104715513444347</v>
      </c>
    </row>
    <row r="49" spans="1:14" x14ac:dyDescent="0.25">
      <c r="A49" t="s">
        <v>93</v>
      </c>
      <c r="B49" s="54">
        <v>0.13312709722240096</v>
      </c>
      <c r="C49" s="54">
        <v>0.31233237306424855</v>
      </c>
      <c r="D49" s="54">
        <v>1.5877597709296256</v>
      </c>
      <c r="E49" s="54">
        <v>0.60087397938487719</v>
      </c>
      <c r="F49" s="54">
        <v>0.30941132131074595</v>
      </c>
      <c r="G49" s="54">
        <v>1.4047802911484366</v>
      </c>
    </row>
    <row r="50" spans="1:14" x14ac:dyDescent="0.25">
      <c r="A50" t="s">
        <v>94</v>
      </c>
      <c r="B50" s="54">
        <v>6.3492820088339133E-2</v>
      </c>
      <c r="C50" s="54">
        <v>0.10966387860132068</v>
      </c>
      <c r="D50" s="54">
        <v>0.12996255884804311</v>
      </c>
      <c r="E50" s="54">
        <v>0.96928133421511986</v>
      </c>
      <c r="F50" s="54">
        <v>0.28462455004995069</v>
      </c>
      <c r="G50" s="54">
        <v>0.57023007119600455</v>
      </c>
      <c r="H50" s="3"/>
    </row>
    <row r="51" spans="1:14" x14ac:dyDescent="0.25">
      <c r="A51" t="s">
        <v>95</v>
      </c>
      <c r="B51" s="54">
        <v>0.81661018803870988</v>
      </c>
      <c r="C51" s="54">
        <v>1.0260504031216127</v>
      </c>
      <c r="D51" s="54">
        <v>0.77833462459024016</v>
      </c>
      <c r="E51" s="54">
        <v>2.5814355524687183</v>
      </c>
      <c r="F51" s="54">
        <v>1.0232353547396726</v>
      </c>
      <c r="G51" s="54">
        <v>2.5205922524516207</v>
      </c>
      <c r="H51" s="3"/>
    </row>
    <row r="52" spans="1:14" x14ac:dyDescent="0.25">
      <c r="A52" t="s">
        <v>34</v>
      </c>
      <c r="B52" s="54">
        <v>11.550750095398969</v>
      </c>
      <c r="C52" s="54">
        <v>47.477219882340023</v>
      </c>
      <c r="D52" s="54">
        <v>24.702566844829228</v>
      </c>
      <c r="E52" s="54">
        <v>100.21706887804739</v>
      </c>
      <c r="F52" s="54">
        <v>22.95159243217276</v>
      </c>
      <c r="G52" s="54">
        <v>47.952742401204539</v>
      </c>
      <c r="H52" s="3"/>
      <c r="I52" s="28"/>
      <c r="J52" s="28"/>
      <c r="K52" s="28"/>
      <c r="L52" s="28"/>
      <c r="M52" s="28"/>
      <c r="N52" s="28"/>
    </row>
    <row r="53" spans="1:14" x14ac:dyDescent="0.25">
      <c r="A53" t="s">
        <v>44</v>
      </c>
      <c r="B53" s="54">
        <v>2.7829953864669996E-2</v>
      </c>
      <c r="C53" s="54">
        <v>1.7447515107180636E-2</v>
      </c>
      <c r="D53" s="54">
        <v>1.3873000877267588E-2</v>
      </c>
      <c r="E53" s="54">
        <v>5.3016380527650668E-2</v>
      </c>
      <c r="F53" s="54">
        <v>1.0904668905452405E-2</v>
      </c>
      <c r="G53" s="54">
        <v>1.1720462580244687E-2</v>
      </c>
      <c r="H53" s="3"/>
      <c r="I53" s="28"/>
      <c r="J53" s="28"/>
      <c r="K53" s="28"/>
      <c r="L53" s="28"/>
      <c r="M53" s="28"/>
      <c r="N53" s="28"/>
    </row>
    <row r="54" spans="1:14" x14ac:dyDescent="0.25">
      <c r="A54" t="s">
        <v>35</v>
      </c>
      <c r="B54" s="54">
        <v>2.7383282779558322</v>
      </c>
      <c r="C54" s="54">
        <v>40.815904965747222</v>
      </c>
      <c r="D54" s="54">
        <v>25.453966799748606</v>
      </c>
      <c r="E54" s="54">
        <v>28.360030567589586</v>
      </c>
      <c r="F54" s="54">
        <v>40.416180448414792</v>
      </c>
      <c r="G54" s="54">
        <v>21.037462962918443</v>
      </c>
      <c r="H54" s="3"/>
      <c r="I54" s="13"/>
      <c r="J54" s="13"/>
      <c r="K54" s="13"/>
      <c r="L54" s="13"/>
      <c r="M54" s="13"/>
      <c r="N54" s="13"/>
    </row>
    <row r="55" spans="1:14" x14ac:dyDescent="0.25">
      <c r="A55" t="s">
        <v>96</v>
      </c>
      <c r="B55" s="54">
        <v>2.7985715000708606</v>
      </c>
      <c r="C55" s="54">
        <v>41.713854874993658</v>
      </c>
      <c r="D55" s="54">
        <v>26.013954069343075</v>
      </c>
      <c r="E55" s="54">
        <v>28.983951240076561</v>
      </c>
      <c r="F55" s="54">
        <v>41.305336418279921</v>
      </c>
      <c r="G55" s="54">
        <v>21.50028714810265</v>
      </c>
      <c r="H55" s="3"/>
      <c r="I55" s="28"/>
      <c r="J55" s="28"/>
      <c r="K55" s="28"/>
      <c r="L55" s="28"/>
      <c r="M55" s="28"/>
      <c r="N55" s="28"/>
    </row>
    <row r="56" spans="1:14" x14ac:dyDescent="0.25">
      <c r="A56" t="s">
        <v>41</v>
      </c>
      <c r="B56" s="54">
        <v>0.75012247003996313</v>
      </c>
      <c r="C56" s="54">
        <v>1.9913566227459221</v>
      </c>
      <c r="D56" s="54">
        <v>1.7854175637551095</v>
      </c>
      <c r="E56" s="54">
        <v>1.5567605474619548</v>
      </c>
      <c r="F56" s="54">
        <v>2.0072580889543179</v>
      </c>
      <c r="G56" s="54">
        <v>1.6729655247693698</v>
      </c>
      <c r="H56" s="3"/>
      <c r="I56" s="13"/>
      <c r="J56" s="13"/>
      <c r="K56" s="13"/>
      <c r="L56" s="13"/>
      <c r="M56" s="13"/>
      <c r="N56" s="13"/>
    </row>
    <row r="57" spans="1:14" x14ac:dyDescent="0.25">
      <c r="A57" s="3"/>
      <c r="B57" s="3"/>
      <c r="C57" s="3"/>
      <c r="D57" s="3"/>
      <c r="E57" s="3"/>
      <c r="F57" s="3"/>
      <c r="G57" s="3"/>
      <c r="H57" s="3"/>
      <c r="I57" s="28"/>
      <c r="J57" s="28"/>
      <c r="K57" s="28"/>
      <c r="L57" s="28"/>
      <c r="M57" s="28"/>
      <c r="N57" s="28"/>
    </row>
    <row r="58" spans="1:14" x14ac:dyDescent="0.25">
      <c r="A58" s="3"/>
      <c r="B58" s="3"/>
      <c r="C58" s="3"/>
      <c r="D58" s="3"/>
      <c r="E58" s="3"/>
      <c r="F58" s="3"/>
      <c r="G58" s="3"/>
      <c r="H58" s="3"/>
      <c r="I58" s="28"/>
      <c r="J58" s="28"/>
      <c r="K58" s="28"/>
      <c r="L58" s="28"/>
      <c r="N58" s="28"/>
    </row>
    <row r="59" spans="1:14" x14ac:dyDescent="0.25">
      <c r="A59" s="3"/>
      <c r="B59" s="3"/>
      <c r="C59" s="3"/>
      <c r="D59" s="3"/>
      <c r="E59" s="3"/>
      <c r="F59" s="3"/>
      <c r="G59" s="3"/>
      <c r="H59" s="3"/>
      <c r="I59" s="28"/>
      <c r="J59" s="28"/>
      <c r="K59" s="28"/>
      <c r="L59" s="28"/>
      <c r="M59" s="28"/>
      <c r="N59" s="28"/>
    </row>
    <row r="60" spans="1:14" x14ac:dyDescent="0.25">
      <c r="A60" s="3"/>
      <c r="B60" s="57" t="s">
        <v>56</v>
      </c>
      <c r="C60" s="57" t="s">
        <v>57</v>
      </c>
      <c r="D60" s="57" t="s">
        <v>58</v>
      </c>
      <c r="E60" s="57" t="s">
        <v>70</v>
      </c>
      <c r="F60" s="57" t="s">
        <v>71</v>
      </c>
      <c r="G60" s="57" t="s">
        <v>72</v>
      </c>
      <c r="H60" s="3"/>
      <c r="I60" s="28"/>
      <c r="J60" s="28"/>
      <c r="K60" s="28"/>
      <c r="L60" s="28"/>
      <c r="M60" s="28"/>
      <c r="N60" s="28"/>
    </row>
    <row r="61" spans="1:14" x14ac:dyDescent="0.25">
      <c r="A61" s="3"/>
      <c r="B61" s="3"/>
      <c r="C61" s="3"/>
      <c r="D61" s="3"/>
      <c r="E61" s="3"/>
      <c r="F61" s="3"/>
      <c r="G61" s="3"/>
      <c r="I61" s="28"/>
      <c r="J61" s="28"/>
      <c r="K61" s="28"/>
      <c r="L61" s="28"/>
      <c r="M61" s="28"/>
      <c r="N61" s="28"/>
    </row>
    <row r="62" spans="1:14" x14ac:dyDescent="0.25">
      <c r="A62" t="s">
        <v>114</v>
      </c>
      <c r="B62" s="48">
        <v>134.48019753522468</v>
      </c>
      <c r="C62" s="48">
        <v>228.10959300223229</v>
      </c>
      <c r="D62" s="48">
        <v>171.29311607692031</v>
      </c>
      <c r="E62" s="48">
        <v>409.4997059974221</v>
      </c>
      <c r="F62" s="48">
        <v>123.26465483069225</v>
      </c>
      <c r="G62" s="48">
        <v>315.91340073288626</v>
      </c>
      <c r="I62" s="28"/>
      <c r="J62" s="28"/>
      <c r="K62" s="28"/>
      <c r="L62" s="28"/>
      <c r="M62" s="28"/>
      <c r="N62" s="28"/>
    </row>
    <row r="63" spans="1:14" x14ac:dyDescent="0.25">
      <c r="A63" t="s">
        <v>115</v>
      </c>
      <c r="B63" s="48">
        <v>47.99638194665846</v>
      </c>
      <c r="C63" s="48">
        <v>281.57102822300891</v>
      </c>
      <c r="D63" s="48">
        <v>77.473371027841807</v>
      </c>
      <c r="E63" s="48">
        <v>211.52073986820636</v>
      </c>
      <c r="F63" s="48">
        <v>69.141809598743649</v>
      </c>
      <c r="G63" s="48">
        <v>156.58497065981621</v>
      </c>
      <c r="H63" s="3"/>
      <c r="I63" s="28"/>
      <c r="J63" s="28"/>
      <c r="K63" s="28"/>
      <c r="L63" s="28"/>
      <c r="M63" s="28"/>
      <c r="N63" s="28"/>
    </row>
    <row r="64" spans="1:14" x14ac:dyDescent="0.25">
      <c r="A64" t="s">
        <v>97</v>
      </c>
      <c r="B64" s="49">
        <v>8.32</v>
      </c>
      <c r="C64" s="49">
        <v>2.35</v>
      </c>
      <c r="D64" s="49">
        <v>6.49</v>
      </c>
      <c r="E64" s="49">
        <v>5.64</v>
      </c>
      <c r="F64" s="49">
        <v>5.19</v>
      </c>
      <c r="G64" s="49">
        <v>5.88</v>
      </c>
      <c r="H64" s="3"/>
      <c r="I64" s="28"/>
      <c r="J64" s="28"/>
      <c r="K64" s="28"/>
      <c r="L64" s="28"/>
      <c r="M64" s="28"/>
      <c r="N64" s="28"/>
    </row>
    <row r="65" spans="1:14" x14ac:dyDescent="0.25">
      <c r="A65" t="s">
        <v>107</v>
      </c>
      <c r="B65" s="56">
        <v>0.98531000000000002</v>
      </c>
      <c r="C65" s="56">
        <v>0.751444</v>
      </c>
      <c r="D65" s="56">
        <v>0.86860300000000001</v>
      </c>
      <c r="E65" s="56">
        <v>0.78254299999999999</v>
      </c>
      <c r="F65" s="65">
        <v>0.77892000000000006</v>
      </c>
      <c r="G65" s="56">
        <v>0.78405599999999998</v>
      </c>
      <c r="H65" s="3"/>
      <c r="I65" s="28"/>
      <c r="J65" s="28"/>
      <c r="K65" s="28"/>
      <c r="L65" s="28"/>
      <c r="M65" s="28"/>
      <c r="N65" s="28"/>
    </row>
    <row r="66" spans="1:14" x14ac:dyDescent="0.25">
      <c r="A66" s="3"/>
      <c r="B66" s="56"/>
      <c r="C66" s="56"/>
      <c r="D66" s="56"/>
      <c r="E66" s="56"/>
      <c r="F66" s="56"/>
      <c r="G66" s="56"/>
      <c r="H66" s="3"/>
      <c r="I66" s="5"/>
      <c r="J66" s="28"/>
      <c r="K66" s="28"/>
      <c r="L66" s="28"/>
      <c r="M66" s="28"/>
      <c r="N66" s="28"/>
    </row>
    <row r="67" spans="1:14" x14ac:dyDescent="0.25">
      <c r="A67" t="s">
        <v>116</v>
      </c>
      <c r="B67" s="49">
        <v>4.2657878491911925</v>
      </c>
      <c r="C67" s="49">
        <v>7.9751873807185003</v>
      </c>
      <c r="D67" s="49">
        <v>26.453814046294067</v>
      </c>
      <c r="E67" s="49">
        <v>6.1090070368134137</v>
      </c>
      <c r="F67" s="49">
        <v>7.5272830418353971</v>
      </c>
      <c r="G67" s="49">
        <v>3.6831552494705133</v>
      </c>
      <c r="H67" s="3"/>
      <c r="I67" s="28"/>
      <c r="J67" s="28"/>
      <c r="K67" s="28"/>
      <c r="L67" s="28"/>
      <c r="M67" s="28"/>
      <c r="N67" s="28"/>
    </row>
    <row r="68" spans="1:14" x14ac:dyDescent="0.25">
      <c r="A68" t="s">
        <v>117</v>
      </c>
      <c r="B68" s="49">
        <v>22.913787824768782</v>
      </c>
      <c r="C68" s="49">
        <v>47.817458904269756</v>
      </c>
      <c r="D68" s="49">
        <v>149.14279424332733</v>
      </c>
      <c r="E68" s="49">
        <v>31.677490883170659</v>
      </c>
      <c r="F68" s="49">
        <v>44.464077488449412</v>
      </c>
      <c r="G68" s="49">
        <v>24.502999345108041</v>
      </c>
      <c r="H68" s="3"/>
      <c r="I68" s="28"/>
      <c r="J68" s="28"/>
      <c r="K68" s="28"/>
      <c r="L68" s="28"/>
      <c r="M68" s="28"/>
      <c r="N68" s="28"/>
    </row>
    <row r="69" spans="1:14" x14ac:dyDescent="0.25">
      <c r="A69" t="s">
        <v>113</v>
      </c>
      <c r="B69" s="50">
        <f>0.6049*B67/B68</f>
        <v>0.11261233147958549</v>
      </c>
      <c r="C69" s="50">
        <f t="shared" ref="C69:G69" si="14">0.6049*C67/C68</f>
        <v>0.10088764558264419</v>
      </c>
      <c r="D69" s="50">
        <f t="shared" si="14"/>
        <v>0.10729255944136376</v>
      </c>
      <c r="E69" s="50">
        <f t="shared" si="14"/>
        <v>0.11665502075897245</v>
      </c>
      <c r="F69" s="50">
        <f t="shared" si="14"/>
        <v>0.10240296817558053</v>
      </c>
      <c r="G69" s="50">
        <f t="shared" si="14"/>
        <v>9.0925220175117713E-2</v>
      </c>
      <c r="H69" s="3"/>
      <c r="I69" s="28"/>
      <c r="J69" s="28"/>
      <c r="K69" s="28"/>
      <c r="L69" s="28"/>
      <c r="M69" s="28"/>
      <c r="N69" s="28"/>
    </row>
    <row r="70" spans="1:14" x14ac:dyDescent="0.25">
      <c r="A70" t="s">
        <v>100</v>
      </c>
      <c r="B70" s="57">
        <v>0.51119399999999993</v>
      </c>
      <c r="C70" s="57">
        <v>0.51169100000000001</v>
      </c>
      <c r="D70" s="57">
        <v>0.511957</v>
      </c>
      <c r="E70" s="57">
        <v>0.511405</v>
      </c>
      <c r="F70" s="57">
        <v>0.51131599999999999</v>
      </c>
      <c r="G70" s="57">
        <v>0.51128099999999999</v>
      </c>
      <c r="H70" s="3"/>
      <c r="I70" s="28"/>
      <c r="J70" s="28"/>
      <c r="K70" s="28"/>
      <c r="L70" s="28"/>
      <c r="M70" s="28"/>
      <c r="N70" s="28"/>
    </row>
    <row r="71" spans="1:14" x14ac:dyDescent="0.25">
      <c r="A71" t="s">
        <v>184</v>
      </c>
      <c r="B71" s="57">
        <f>B70-B69*(EXP(0.00654*B93)-1)</f>
        <v>0.51035868959412567</v>
      </c>
      <c r="C71" s="57">
        <f t="shared" ref="C71:G71" si="15">C70-C69*(EXP(0.00654*C93)-1)</f>
        <v>0.51135459954776741</v>
      </c>
      <c r="D71" s="57">
        <f t="shared" si="15"/>
        <v>0.51106213833320391</v>
      </c>
      <c r="E71" s="57">
        <f t="shared" si="15"/>
        <v>0.51099076154336354</v>
      </c>
      <c r="F71" s="57">
        <f t="shared" si="15"/>
        <v>0.51094699326271864</v>
      </c>
      <c r="G71" s="57">
        <f t="shared" si="15"/>
        <v>0.51096051430728351</v>
      </c>
      <c r="H71" s="3"/>
      <c r="I71" s="28"/>
      <c r="J71" s="28"/>
      <c r="K71" s="28"/>
      <c r="L71" s="28"/>
      <c r="M71" s="28"/>
      <c r="N71" s="28"/>
    </row>
    <row r="72" spans="1:14" x14ac:dyDescent="0.25">
      <c r="A72" t="s">
        <v>101</v>
      </c>
      <c r="B72" s="48">
        <f>((B70/0.512632)-1)*10000</f>
        <v>-28.051311662168345</v>
      </c>
      <c r="C72" s="48">
        <f t="shared" ref="C72:G72" si="16">((C70/0.512632)-1)*10000</f>
        <v>-18.356247756674549</v>
      </c>
      <c r="D72" s="48">
        <f t="shared" si="16"/>
        <v>-13.167340314299558</v>
      </c>
      <c r="E72" s="48">
        <f t="shared" si="16"/>
        <v>-23.935298615770371</v>
      </c>
      <c r="F72" s="48">
        <f t="shared" si="16"/>
        <v>-25.671436820174918</v>
      </c>
      <c r="G72" s="48">
        <f t="shared" si="16"/>
        <v>-26.354187799434435</v>
      </c>
      <c r="H72" s="3"/>
      <c r="I72" s="28"/>
      <c r="J72" s="6"/>
      <c r="K72" s="28"/>
      <c r="L72" s="28"/>
      <c r="M72" s="28"/>
      <c r="N72" s="28"/>
    </row>
    <row r="73" spans="1:14" x14ac:dyDescent="0.25">
      <c r="A73" s="3"/>
      <c r="B73" s="56"/>
      <c r="C73" s="56"/>
      <c r="D73" s="56"/>
      <c r="E73" s="56"/>
      <c r="F73" s="56"/>
      <c r="G73" s="56"/>
      <c r="H73" s="3"/>
      <c r="I73" s="28"/>
      <c r="J73" s="28"/>
      <c r="K73" s="28"/>
      <c r="L73" s="28"/>
      <c r="M73" s="28"/>
      <c r="N73" s="28"/>
    </row>
    <row r="74" spans="1:14" x14ac:dyDescent="0.25">
      <c r="A74" s="3"/>
      <c r="B74" s="56"/>
      <c r="C74" s="56"/>
      <c r="D74" s="56"/>
      <c r="E74" s="56"/>
      <c r="F74" s="56"/>
      <c r="G74" s="56"/>
      <c r="H74" s="3"/>
      <c r="I74" s="28"/>
      <c r="J74" s="28"/>
      <c r="K74" s="28"/>
      <c r="L74" s="28"/>
      <c r="M74" s="28"/>
      <c r="N74" s="28"/>
    </row>
    <row r="75" spans="1:14" x14ac:dyDescent="0.25">
      <c r="A75" t="s">
        <v>118</v>
      </c>
      <c r="B75" s="49">
        <v>0.24503632278403431</v>
      </c>
      <c r="C75" s="49">
        <v>0.10281158664609717</v>
      </c>
      <c r="D75" s="49">
        <v>0.56711780902546072</v>
      </c>
      <c r="E75" s="49">
        <v>0.10775139785391685</v>
      </c>
      <c r="F75" s="49">
        <v>0.11080136451104425</v>
      </c>
      <c r="G75" s="49">
        <v>0.19255116389631333</v>
      </c>
      <c r="H75" s="3"/>
      <c r="I75" s="28"/>
      <c r="J75" s="28"/>
      <c r="K75" s="28"/>
      <c r="L75" s="28"/>
      <c r="M75" s="28"/>
      <c r="N75" s="28"/>
    </row>
    <row r="76" spans="1:14" x14ac:dyDescent="0.25">
      <c r="A76" t="s">
        <v>119</v>
      </c>
      <c r="B76" s="49">
        <v>4.8417532121789106</v>
      </c>
      <c r="C76" s="49">
        <v>6.5356041479286571</v>
      </c>
      <c r="D76" s="49">
        <v>19.966124886145437</v>
      </c>
      <c r="E76" s="49">
        <v>2.2423382134577978</v>
      </c>
      <c r="F76" s="49">
        <v>1.3809976705911466</v>
      </c>
      <c r="G76" s="49">
        <v>16.104715513444347</v>
      </c>
      <c r="H76" s="3"/>
      <c r="I76" s="28"/>
      <c r="J76" s="28"/>
      <c r="K76" s="28"/>
      <c r="L76" s="28"/>
      <c r="M76" s="28"/>
      <c r="N76" s="28"/>
    </row>
    <row r="77" spans="1:14" x14ac:dyDescent="0.25">
      <c r="A77" t="s">
        <v>123</v>
      </c>
      <c r="B77" s="51">
        <f>0.142*B75/B76</f>
        <v>7.1864790109106309E-3</v>
      </c>
      <c r="C77" s="51">
        <f t="shared" ref="C77:G77" si="17">0.142*C75/C76</f>
        <v>2.2338019520923352E-3</v>
      </c>
      <c r="D77" s="51">
        <f t="shared" si="17"/>
        <v>4.0333679840646479E-3</v>
      </c>
      <c r="E77" s="51">
        <f t="shared" si="17"/>
        <v>6.8235462444631613E-3</v>
      </c>
      <c r="F77" s="51">
        <f t="shared" si="17"/>
        <v>1.1393063214823028E-2</v>
      </c>
      <c r="G77" s="51">
        <f t="shared" si="17"/>
        <v>1.6977800849975241E-3</v>
      </c>
      <c r="H77" s="3"/>
      <c r="I77" s="28"/>
      <c r="J77" s="28"/>
      <c r="K77" s="28"/>
      <c r="L77" s="28"/>
      <c r="M77" s="28"/>
      <c r="N77" s="28"/>
    </row>
    <row r="78" spans="1:14" x14ac:dyDescent="0.25">
      <c r="A78" t="s">
        <v>102</v>
      </c>
      <c r="B78" s="57">
        <v>0.28178340000000002</v>
      </c>
      <c r="C78" s="57">
        <v>0.28218520000000002</v>
      </c>
      <c r="D78" s="57">
        <v>0.282254</v>
      </c>
      <c r="E78" s="57">
        <v>0.28175119999999998</v>
      </c>
      <c r="F78" s="57">
        <v>0.28165400000000002</v>
      </c>
      <c r="G78" s="57">
        <v>0.28171180000000001</v>
      </c>
      <c r="H78" s="3"/>
      <c r="I78" s="28"/>
      <c r="J78" s="28"/>
      <c r="K78" s="28"/>
      <c r="L78" s="28"/>
      <c r="M78" s="28"/>
      <c r="N78" s="28"/>
    </row>
    <row r="79" spans="1:14" x14ac:dyDescent="0.25">
      <c r="A79" t="s">
        <v>103</v>
      </c>
      <c r="B79" s="53">
        <f>((B78/0.282785)-1)*10000</f>
        <v>-35.419134678288387</v>
      </c>
      <c r="C79" s="53">
        <f t="shared" ref="C79:G79" si="18">((C78/0.282785)-1)*10000</f>
        <v>-21.210460243646921</v>
      </c>
      <c r="D79" s="53">
        <f t="shared" si="18"/>
        <v>-18.777516487791246</v>
      </c>
      <c r="E79" s="53">
        <f t="shared" si="18"/>
        <v>-36.557808936118484</v>
      </c>
      <c r="F79" s="53">
        <f t="shared" si="18"/>
        <v>-39.995049242357304</v>
      </c>
      <c r="G79" s="53">
        <f t="shared" si="18"/>
        <v>-37.951093587000884</v>
      </c>
      <c r="H79" s="3"/>
      <c r="I79" s="28"/>
      <c r="J79" s="28"/>
      <c r="K79" s="28"/>
      <c r="L79" s="28"/>
      <c r="M79" s="28"/>
      <c r="N79" s="28"/>
    </row>
    <row r="80" spans="1:14" x14ac:dyDescent="0.25">
      <c r="A80" s="3"/>
      <c r="B80" s="56"/>
      <c r="C80" s="56"/>
      <c r="D80" s="56"/>
      <c r="E80" s="56"/>
      <c r="F80" s="56"/>
      <c r="G80" s="56"/>
      <c r="H80" s="3"/>
      <c r="I80" s="28"/>
      <c r="J80" s="28"/>
      <c r="K80" s="28"/>
      <c r="L80" s="28"/>
      <c r="M80" s="28"/>
      <c r="N80" s="28"/>
    </row>
    <row r="81" spans="1:14" x14ac:dyDescent="0.25">
      <c r="A81" s="3"/>
      <c r="B81" s="56"/>
      <c r="C81" s="56"/>
      <c r="D81" s="56"/>
      <c r="E81" s="56"/>
      <c r="F81" s="56"/>
      <c r="G81" s="56"/>
      <c r="H81" s="3"/>
      <c r="I81" s="28"/>
      <c r="J81" s="28"/>
      <c r="K81" s="28"/>
      <c r="L81" s="28"/>
      <c r="M81" s="28"/>
      <c r="N81" s="28"/>
    </row>
    <row r="82" spans="1:14" x14ac:dyDescent="0.25">
      <c r="A82" t="s">
        <v>120</v>
      </c>
      <c r="B82" s="49">
        <v>0.75012247003996313</v>
      </c>
      <c r="C82" s="49">
        <v>1.9913566227459221</v>
      </c>
      <c r="D82" s="49">
        <v>1.7854175637551095</v>
      </c>
      <c r="E82" s="49">
        <v>1.5567605474619548</v>
      </c>
      <c r="F82" s="49">
        <v>2.0072580889543179</v>
      </c>
      <c r="G82" s="49">
        <v>1.6729655247693698</v>
      </c>
      <c r="H82" s="3"/>
      <c r="I82" s="28"/>
      <c r="J82" s="28"/>
      <c r="K82" s="28"/>
      <c r="L82" s="28"/>
      <c r="M82" s="28"/>
      <c r="N82" s="28"/>
    </row>
    <row r="83" spans="1:14" x14ac:dyDescent="0.25">
      <c r="A83" t="s">
        <v>121</v>
      </c>
      <c r="B83" s="49">
        <v>2.7985715000708606</v>
      </c>
      <c r="C83" s="49">
        <v>41.713854874993658</v>
      </c>
      <c r="D83" s="49">
        <v>26.013954069343075</v>
      </c>
      <c r="E83" s="49">
        <v>28.983951240076561</v>
      </c>
      <c r="F83" s="49">
        <v>41.305336418279921</v>
      </c>
      <c r="G83" s="49">
        <v>21.50028714810265</v>
      </c>
      <c r="H83" s="3"/>
      <c r="I83" s="28"/>
      <c r="J83" s="28"/>
      <c r="K83" s="28"/>
      <c r="L83" s="28"/>
      <c r="M83" s="28"/>
      <c r="N83" s="28"/>
    </row>
    <row r="84" spans="1:14" x14ac:dyDescent="0.25">
      <c r="A84" t="s">
        <v>122</v>
      </c>
      <c r="B84" s="49">
        <v>11.550750095398969</v>
      </c>
      <c r="C84" s="49">
        <v>47.477219882340023</v>
      </c>
      <c r="D84" s="49">
        <v>24.702566844829228</v>
      </c>
      <c r="E84" s="49">
        <v>100.21706887804739</v>
      </c>
      <c r="F84" s="49">
        <v>22.95159243217276</v>
      </c>
      <c r="G84" s="49">
        <v>47.952742401204539</v>
      </c>
      <c r="H84" s="3"/>
      <c r="I84" s="28"/>
      <c r="J84" s="28"/>
      <c r="K84" s="28"/>
      <c r="L84" s="28"/>
      <c r="M84" s="28"/>
      <c r="N84" s="28"/>
    </row>
    <row r="85" spans="1:14" x14ac:dyDescent="0.25">
      <c r="A85" t="s">
        <v>124</v>
      </c>
      <c r="B85" s="49">
        <v>3.9518987622376769</v>
      </c>
      <c r="C85" s="49">
        <v>2.7229841959058825</v>
      </c>
      <c r="D85" s="49">
        <v>4.7799749908662816</v>
      </c>
      <c r="E85" s="49">
        <v>0.98401974866118669</v>
      </c>
      <c r="F85" s="49">
        <v>5.7561180447954738</v>
      </c>
      <c r="G85" s="49">
        <v>2.2342726721062895</v>
      </c>
      <c r="H85" s="3"/>
      <c r="I85" s="28"/>
      <c r="J85" s="28"/>
      <c r="K85" s="28"/>
      <c r="L85" s="28"/>
      <c r="M85" s="28"/>
      <c r="N85" s="28"/>
    </row>
    <row r="86" spans="1:14" x14ac:dyDescent="0.25">
      <c r="A86" t="s">
        <v>125</v>
      </c>
      <c r="B86" s="49">
        <v>15.234171843774162</v>
      </c>
      <c r="C86" s="49">
        <v>58.936618085660214</v>
      </c>
      <c r="D86" s="49">
        <v>71.96163105338519</v>
      </c>
      <c r="E86" s="49">
        <v>18.929903310748411</v>
      </c>
      <c r="F86" s="49">
        <v>122.38873509719693</v>
      </c>
      <c r="G86" s="49">
        <v>29.668955007337882</v>
      </c>
      <c r="H86" s="3"/>
      <c r="I86" s="28"/>
      <c r="J86" s="28"/>
      <c r="K86" s="28"/>
      <c r="L86" s="28"/>
      <c r="M86" s="28"/>
      <c r="N86" s="28"/>
    </row>
    <row r="87" spans="1:14" x14ac:dyDescent="0.25">
      <c r="A87" t="s">
        <v>126</v>
      </c>
      <c r="B87" s="66">
        <v>16.71719634400397</v>
      </c>
      <c r="C87" s="66">
        <v>18.170516875790934</v>
      </c>
      <c r="D87" s="66">
        <v>18.979317706129567</v>
      </c>
      <c r="E87" s="66">
        <v>17.784432717269187</v>
      </c>
      <c r="F87" s="66">
        <v>18.151351861385024</v>
      </c>
      <c r="G87" s="66">
        <v>17.992434598232776</v>
      </c>
      <c r="H87" s="3"/>
      <c r="I87" s="28"/>
      <c r="J87" s="28"/>
      <c r="K87" s="28"/>
      <c r="L87" s="28"/>
      <c r="M87" s="28"/>
      <c r="N87" s="28"/>
    </row>
    <row r="88" spans="1:14" x14ac:dyDescent="0.25">
      <c r="A88" t="s">
        <v>127</v>
      </c>
      <c r="B88" s="66">
        <v>15.175933053011747</v>
      </c>
      <c r="C88" s="66">
        <v>15.6576893873382</v>
      </c>
      <c r="D88" s="66">
        <v>15.728831619969247</v>
      </c>
      <c r="E88" s="66">
        <v>15.745841161267034</v>
      </c>
      <c r="F88" s="66">
        <v>15.760757963384508</v>
      </c>
      <c r="G88" s="66">
        <v>15.749607837288115</v>
      </c>
      <c r="H88" s="3"/>
      <c r="I88" s="28"/>
      <c r="J88" s="28"/>
      <c r="K88" s="28"/>
      <c r="L88" s="28"/>
      <c r="M88" s="28"/>
      <c r="N88" s="28"/>
    </row>
    <row r="89" spans="1:14" x14ac:dyDescent="0.25">
      <c r="A89" t="s">
        <v>128</v>
      </c>
      <c r="B89" s="66">
        <v>37.511617509721681</v>
      </c>
      <c r="C89" s="66">
        <v>40.281475935397857</v>
      </c>
      <c r="D89" s="66">
        <v>40.809214764295604</v>
      </c>
      <c r="E89" s="66">
        <v>38.761876688113944</v>
      </c>
      <c r="F89" s="66">
        <v>41.231665720519516</v>
      </c>
      <c r="G89" s="66">
        <v>39.353336799088034</v>
      </c>
      <c r="H89" s="3"/>
      <c r="I89" s="28"/>
      <c r="J89" s="28"/>
      <c r="K89" s="28"/>
      <c r="L89" s="28"/>
      <c r="M89" s="28"/>
      <c r="N89" s="28"/>
    </row>
    <row r="90" spans="1:14" x14ac:dyDescent="0.25">
      <c r="H90" s="3"/>
      <c r="I90" s="28"/>
      <c r="J90" s="28"/>
      <c r="K90" s="28"/>
      <c r="L90" s="28"/>
      <c r="M90" s="28"/>
      <c r="N90" s="28"/>
    </row>
    <row r="91" spans="1:14" x14ac:dyDescent="0.25">
      <c r="H91" s="3"/>
      <c r="I91" s="28"/>
      <c r="J91" s="28"/>
      <c r="K91" s="28"/>
      <c r="L91" s="28"/>
      <c r="M91" s="28"/>
      <c r="N91" s="28"/>
    </row>
    <row r="92" spans="1:14" x14ac:dyDescent="0.25">
      <c r="A92" s="2" t="s">
        <v>138</v>
      </c>
      <c r="B92" s="57" t="s">
        <v>56</v>
      </c>
      <c r="C92" s="57" t="s">
        <v>57</v>
      </c>
      <c r="D92" s="57" t="s">
        <v>58</v>
      </c>
      <c r="E92" s="57" t="s">
        <v>70</v>
      </c>
      <c r="F92" s="57" t="s">
        <v>71</v>
      </c>
      <c r="G92" s="57" t="s">
        <v>72</v>
      </c>
      <c r="H92" s="3"/>
      <c r="I92" s="28"/>
      <c r="J92" s="28"/>
      <c r="K92" s="28"/>
      <c r="L92" s="28"/>
      <c r="M92" s="28"/>
      <c r="N92" s="28"/>
    </row>
    <row r="93" spans="1:14" x14ac:dyDescent="0.25">
      <c r="A93" t="s">
        <v>139</v>
      </c>
      <c r="B93" s="56">
        <v>1.1299999999999999</v>
      </c>
      <c r="C93" s="56">
        <v>0.50900000000000001</v>
      </c>
      <c r="D93" s="56">
        <v>1.27</v>
      </c>
      <c r="E93" s="56">
        <v>0.54200000000000004</v>
      </c>
      <c r="F93" s="56">
        <v>0.55000000000000004</v>
      </c>
      <c r="G93" s="56">
        <v>0.53800000000000003</v>
      </c>
      <c r="H93" s="3"/>
      <c r="I93" s="28"/>
      <c r="J93" s="28"/>
      <c r="K93" s="28"/>
      <c r="L93" s="28"/>
      <c r="M93" s="28"/>
      <c r="N93" s="28"/>
    </row>
    <row r="94" spans="1:14" x14ac:dyDescent="0.25">
      <c r="A94" t="s">
        <v>140</v>
      </c>
      <c r="B94" s="51">
        <f t="shared" ref="B94:G94" si="19">B65-B64*(EXP(0.01395*B93)-1)</f>
        <v>0.8531185171006751</v>
      </c>
      <c r="C94" s="51">
        <f t="shared" si="19"/>
        <v>0.73469832610925245</v>
      </c>
      <c r="D94" s="51">
        <f t="shared" si="19"/>
        <v>0.75259835104303452</v>
      </c>
      <c r="E94" s="51">
        <f t="shared" si="19"/>
        <v>0.73973790540057527</v>
      </c>
      <c r="F94" s="51">
        <f t="shared" si="19"/>
        <v>0.73894657303444156</v>
      </c>
      <c r="G94" s="51">
        <f t="shared" si="19"/>
        <v>0.73975999695357031</v>
      </c>
      <c r="H94" s="3"/>
      <c r="I94" s="28"/>
      <c r="J94" s="28"/>
      <c r="K94" s="28"/>
      <c r="L94" s="28"/>
      <c r="M94" s="28"/>
      <c r="N94" s="28"/>
    </row>
    <row r="95" spans="1:14" x14ac:dyDescent="0.25">
      <c r="A95" t="s">
        <v>104</v>
      </c>
      <c r="B95" s="48">
        <f t="shared" ref="B95:G95" si="20">((B70-B69*(EXP(0.00654*B93)-1))/(0.512632-0.196*(EXP(0.00654*B93)-1)) -1)*10000</f>
        <v>-16.0309221485766</v>
      </c>
      <c r="C95" s="48">
        <f t="shared" si="20"/>
        <v>-12.185214247004694</v>
      </c>
      <c r="D95" s="48">
        <f t="shared" si="20"/>
        <v>1.2691759915206546</v>
      </c>
      <c r="E95" s="48">
        <f t="shared" si="20"/>
        <v>-18.464189977011046</v>
      </c>
      <c r="F95" s="48">
        <f t="shared" si="20"/>
        <v>-19.118501300985358</v>
      </c>
      <c r="G95" s="48">
        <f t="shared" si="20"/>
        <v>-19.155348223504063</v>
      </c>
      <c r="H95" s="3"/>
      <c r="I95" s="28"/>
      <c r="J95" s="28"/>
      <c r="K95" s="28"/>
      <c r="L95" s="28"/>
      <c r="M95" s="28"/>
      <c r="N95" s="28"/>
    </row>
    <row r="96" spans="1:14" x14ac:dyDescent="0.25">
      <c r="A96" t="s">
        <v>105</v>
      </c>
      <c r="B96" s="48">
        <f t="shared" ref="B96:G96" si="21">((B78-B77*(EXP(0.01865*B93)-1))/(0.282785-0.0336*(EXP(0.01865*B93)-1)) -1)*10000</f>
        <v>-15.565009092465276</v>
      </c>
      <c r="C96" s="48">
        <f t="shared" si="21"/>
        <v>-10.643022801032354</v>
      </c>
      <c r="D96" s="48">
        <f t="shared" si="21"/>
        <v>6.3004476703176771</v>
      </c>
      <c r="E96" s="48">
        <f t="shared" si="21"/>
        <v>-26.970441830890259</v>
      </c>
      <c r="F96" s="48">
        <f t="shared" si="21"/>
        <v>-31.937566511555104</v>
      </c>
      <c r="G96" s="48">
        <f t="shared" si="21"/>
        <v>-26.606536375853864</v>
      </c>
      <c r="H96" s="3"/>
      <c r="I96" s="28"/>
      <c r="J96" s="28"/>
      <c r="K96" s="28"/>
      <c r="L96" s="28"/>
      <c r="M96" s="28"/>
      <c r="N96" s="28"/>
    </row>
    <row r="97" spans="1:14" x14ac:dyDescent="0.25">
      <c r="A97" t="s">
        <v>129</v>
      </c>
      <c r="B97" s="54">
        <f t="shared" ref="B97:G97" si="22">B87-B85*(EXP(0.155125*B93)-1)</f>
        <v>15.960039344507466</v>
      </c>
      <c r="C97" s="54">
        <f t="shared" si="22"/>
        <v>17.946797728331394</v>
      </c>
      <c r="D97" s="54">
        <f t="shared" si="22"/>
        <v>17.938455705044305</v>
      </c>
      <c r="E97" s="54">
        <f>E87-E85*(EXP(0.155125*E93)-1)</f>
        <v>17.698120940166866</v>
      </c>
      <c r="F97" s="54">
        <f t="shared" si="22"/>
        <v>17.638688097104584</v>
      </c>
      <c r="G97" s="54">
        <f t="shared" si="22"/>
        <v>17.797966312454726</v>
      </c>
      <c r="H97" s="3"/>
      <c r="I97" s="28"/>
      <c r="J97" s="28"/>
      <c r="K97" s="28"/>
      <c r="L97" s="28"/>
      <c r="M97" s="28"/>
      <c r="N97" s="28"/>
    </row>
    <row r="98" spans="1:14" x14ac:dyDescent="0.25">
      <c r="A98" t="s">
        <v>130</v>
      </c>
      <c r="B98" s="54">
        <f>B88-(B85/137.88)*(EXP(0.98485*B93)-1)</f>
        <v>15.117373655948585</v>
      </c>
      <c r="C98" s="54">
        <f t="shared" ref="C98:G98" si="23">C88-(C85/137.88)*(EXP(0.98485*C93)-1)</f>
        <v>15.644835842108447</v>
      </c>
      <c r="D98" s="54">
        <f t="shared" si="23"/>
        <v>15.642405356710073</v>
      </c>
      <c r="E98" s="54">
        <f t="shared" si="23"/>
        <v>15.740807007709911</v>
      </c>
      <c r="F98" s="54">
        <f t="shared" si="23"/>
        <v>15.730747051326897</v>
      </c>
      <c r="G98" s="54">
        <f t="shared" si="23"/>
        <v>15.738286156398352</v>
      </c>
      <c r="H98" s="74" t="s">
        <v>182</v>
      </c>
      <c r="I98" s="73">
        <f>B70-B69*(EXP(0.00654*B93*0.001)-1)</f>
        <v>0.51119316776927259</v>
      </c>
      <c r="J98" s="73">
        <f>C70-C69*(EXP(0.00654*C93*0.001)-1)</f>
        <v>0.51169066415859321</v>
      </c>
      <c r="K98" s="73">
        <f t="shared" ref="K98:N98" si="24">D70-D69*(EXP(0.00654*D93*0.001)-1)</f>
        <v>0.51195610884575893</v>
      </c>
      <c r="L98" s="73">
        <f t="shared" si="24"/>
        <v>0.51140458649454812</v>
      </c>
      <c r="M98" s="73">
        <f t="shared" si="24"/>
        <v>0.51131563165586102</v>
      </c>
      <c r="N98" s="73">
        <f t="shared" si="24"/>
        <v>0.51128068007723149</v>
      </c>
    </row>
    <row r="99" spans="1:14" x14ac:dyDescent="0.25">
      <c r="A99" t="s">
        <v>131</v>
      </c>
      <c r="B99" s="54">
        <f>B89-B86*(EXP(0.049485*B93)-1)</f>
        <v>36.635484791431942</v>
      </c>
      <c r="C99" s="54">
        <f t="shared" ref="C99:G99" si="25">C89-C86*(EXP(0.049485*C93)-1)</f>
        <v>38.778134858823876</v>
      </c>
      <c r="D99" s="54">
        <f t="shared" si="25"/>
        <v>36.14158299820857</v>
      </c>
      <c r="E99" s="54">
        <f t="shared" si="25"/>
        <v>38.247290231407213</v>
      </c>
      <c r="F99" s="54">
        <f t="shared" si="25"/>
        <v>37.854898239276203</v>
      </c>
      <c r="G99" s="54">
        <f t="shared" si="25"/>
        <v>38.552853967546085</v>
      </c>
      <c r="H99" s="74" t="s">
        <v>183</v>
      </c>
      <c r="I99" s="75">
        <f>B78-B77*(EXP(0.01865*B93*0.001)-1)</f>
        <v>0.28178324854695219</v>
      </c>
      <c r="J99" s="75">
        <f t="shared" ref="J99:M99" si="26">C78-C77*(EXP(0.01865*C93*0.001)-1)</f>
        <v>0.28218517879475252</v>
      </c>
      <c r="K99" s="75">
        <f t="shared" si="26"/>
        <v>0.28225390446653126</v>
      </c>
      <c r="L99" s="75">
        <f t="shared" si="26"/>
        <v>0.28175113102519889</v>
      </c>
      <c r="M99" s="75">
        <f t="shared" si="26"/>
        <v>0.28165388313505474</v>
      </c>
      <c r="N99" s="75">
        <f>G78-G77*(EXP(0.01865*G93*0.001)-1)</f>
        <v>0.28171178296489852</v>
      </c>
    </row>
    <row r="100" spans="1:14" x14ac:dyDescent="0.25">
      <c r="A100" t="s">
        <v>141</v>
      </c>
      <c r="H100" s="3"/>
      <c r="I100" s="28"/>
      <c r="J100" s="28"/>
      <c r="K100" s="28"/>
      <c r="L100" s="28"/>
      <c r="M100" s="28"/>
      <c r="N100" s="28"/>
    </row>
    <row r="101" spans="1:14" x14ac:dyDescent="0.25">
      <c r="A101" t="s">
        <v>132</v>
      </c>
      <c r="B101" s="67">
        <f>(1/0.01865)*LN(1+(B78-0.283237)/(B77-0.03869))</f>
        <v>2.4186614250828673</v>
      </c>
      <c r="C101" s="67">
        <f>(1/6.54)*1000*LN(1+(C70-0.513145)/(C69-0.21294))</f>
        <v>1.9713469695757808</v>
      </c>
      <c r="D101" s="67">
        <f t="shared" ref="C101:G101" si="27">(1/6.54)*1000*LN(1+(D70-0.513145)/(D69-0.21294))</f>
        <v>1.7098155674197604</v>
      </c>
      <c r="E101" s="67">
        <f t="shared" si="27"/>
        <v>2.7385334210328471</v>
      </c>
      <c r="F101" s="67">
        <f t="shared" si="27"/>
        <v>2.5093408823533982</v>
      </c>
      <c r="G101" s="67">
        <f t="shared" si="27"/>
        <v>2.3182449390521911</v>
      </c>
      <c r="H101" s="3"/>
      <c r="I101" s="3"/>
      <c r="J101" s="3"/>
      <c r="K101" s="3"/>
      <c r="L101" s="3"/>
      <c r="M101" s="3"/>
      <c r="N101" s="3"/>
    </row>
    <row r="102" spans="1:14" x14ac:dyDescent="0.25">
      <c r="A102" t="s">
        <v>133</v>
      </c>
      <c r="B102" s="67">
        <f>(1/0.01865)*LN(1+(B78-0.283237)/(B77-0.03869))</f>
        <v>2.4186614250828673</v>
      </c>
      <c r="C102" s="67">
        <f t="shared" ref="C102:G102" si="28">(1/0.01865)*LN(1+(C78-0.283237)/(C77-0.03869))</f>
        <v>1.5250780186056947</v>
      </c>
      <c r="D102" s="67">
        <f t="shared" si="28"/>
        <v>1.4996874009062853</v>
      </c>
      <c r="E102" s="67">
        <f t="shared" si="28"/>
        <v>2.443512005342142</v>
      </c>
      <c r="F102" s="67">
        <f t="shared" si="28"/>
        <v>3.0226613897642114</v>
      </c>
      <c r="G102" s="67">
        <f t="shared" si="28"/>
        <v>2.166379963568998</v>
      </c>
      <c r="H102" s="52"/>
      <c r="I102" s="52"/>
      <c r="J102" s="52"/>
      <c r="K102" s="52"/>
      <c r="L102" s="52"/>
      <c r="M102" s="3"/>
      <c r="N102" s="3"/>
    </row>
    <row r="103" spans="1:14" x14ac:dyDescent="0.25">
      <c r="M103" s="3"/>
      <c r="N103" s="3"/>
    </row>
    <row r="104" spans="1:14" x14ac:dyDescent="0.25">
      <c r="A104" t="s">
        <v>134</v>
      </c>
      <c r="B104" s="52"/>
    </row>
    <row r="105" spans="1:14" x14ac:dyDescent="0.25">
      <c r="A105" t="s">
        <v>135</v>
      </c>
      <c r="B105" s="52"/>
    </row>
    <row r="106" spans="1:14" x14ac:dyDescent="0.25">
      <c r="A106" t="s">
        <v>136</v>
      </c>
      <c r="B106" s="52"/>
    </row>
    <row r="107" spans="1:14" x14ac:dyDescent="0.25">
      <c r="A107" t="s">
        <v>137</v>
      </c>
      <c r="B107" s="52"/>
    </row>
    <row r="108" spans="1:14" x14ac:dyDescent="0.25">
      <c r="A108" t="s">
        <v>142</v>
      </c>
      <c r="B108" s="52"/>
    </row>
    <row r="109" spans="1:14" x14ac:dyDescent="0.25">
      <c r="A109" t="s">
        <v>143</v>
      </c>
      <c r="B109" s="52"/>
    </row>
    <row r="110" spans="1:14" x14ac:dyDescent="0.25">
      <c r="A110" t="s">
        <v>144</v>
      </c>
    </row>
    <row r="111" spans="1:14" x14ac:dyDescent="0.25">
      <c r="A111" t="s">
        <v>145</v>
      </c>
    </row>
    <row r="112" spans="1:14" x14ac:dyDescent="0.25">
      <c r="A112" t="s">
        <v>146</v>
      </c>
    </row>
    <row r="113" spans="1:13" x14ac:dyDescent="0.25">
      <c r="A113" t="s">
        <v>147</v>
      </c>
    </row>
    <row r="114" spans="1:13" x14ac:dyDescent="0.25">
      <c r="A114" t="s">
        <v>148</v>
      </c>
    </row>
    <row r="115" spans="1:13" x14ac:dyDescent="0.25">
      <c r="A115" t="s">
        <v>149</v>
      </c>
    </row>
    <row r="116" spans="1:13" x14ac:dyDescent="0.25">
      <c r="A116" t="s">
        <v>150</v>
      </c>
    </row>
    <row r="117" spans="1:13" x14ac:dyDescent="0.25">
      <c r="A117" t="s">
        <v>151</v>
      </c>
    </row>
    <row r="118" spans="1:13" x14ac:dyDescent="0.25">
      <c r="A118" t="s">
        <v>152</v>
      </c>
    </row>
    <row r="120" spans="1:13" ht="18.75" x14ac:dyDescent="0.3">
      <c r="A120" s="55" t="s">
        <v>158</v>
      </c>
    </row>
    <row r="121" spans="1:13" x14ac:dyDescent="0.25">
      <c r="I121" t="s">
        <v>180</v>
      </c>
    </row>
    <row r="122" spans="1:13" x14ac:dyDescent="0.25">
      <c r="B122" s="57" t="s">
        <v>56</v>
      </c>
      <c r="C122" s="57" t="s">
        <v>57</v>
      </c>
      <c r="D122" s="57" t="s">
        <v>58</v>
      </c>
      <c r="E122" s="57" t="s">
        <v>70</v>
      </c>
      <c r="F122" s="57" t="s">
        <v>71</v>
      </c>
      <c r="G122" s="57" t="s">
        <v>72</v>
      </c>
      <c r="H122" s="57"/>
      <c r="I122" s="57" t="s">
        <v>153</v>
      </c>
      <c r="J122" s="57" t="s">
        <v>154</v>
      </c>
      <c r="K122" s="57" t="s">
        <v>155</v>
      </c>
      <c r="L122" s="57" t="s">
        <v>156</v>
      </c>
      <c r="M122" s="57" t="s">
        <v>157</v>
      </c>
    </row>
    <row r="123" spans="1:13" x14ac:dyDescent="0.25">
      <c r="A123" t="s">
        <v>139</v>
      </c>
      <c r="B123" s="57">
        <v>0.13</v>
      </c>
      <c r="C123" s="57">
        <v>0.13</v>
      </c>
      <c r="D123" s="57">
        <v>0.13</v>
      </c>
      <c r="E123" s="57">
        <v>0.13</v>
      </c>
      <c r="F123" s="57">
        <v>0.13</v>
      </c>
      <c r="G123" s="57">
        <v>0.13</v>
      </c>
      <c r="H123" s="57"/>
      <c r="I123" s="57">
        <v>0.13</v>
      </c>
      <c r="J123" s="57">
        <v>0.13</v>
      </c>
      <c r="K123" s="57">
        <v>0.13</v>
      </c>
      <c r="L123" s="57">
        <v>0.13</v>
      </c>
      <c r="M123" s="57">
        <v>0.13</v>
      </c>
    </row>
    <row r="124" spans="1:13" x14ac:dyDescent="0.25">
      <c r="A124" t="s">
        <v>159</v>
      </c>
      <c r="B124" s="72">
        <v>0.97020799039172201</v>
      </c>
      <c r="C124" s="72">
        <v>0.74717840834381566</v>
      </c>
      <c r="D124" s="72">
        <v>0.85682270644738889</v>
      </c>
      <c r="E124" s="72">
        <v>0.7723055800251577</v>
      </c>
      <c r="F124" s="72">
        <v>0.7694993954486824</v>
      </c>
      <c r="G124" s="72">
        <v>0.77338294513261119</v>
      </c>
      <c r="H124" s="72"/>
      <c r="I124" s="72">
        <v>0.77843084632103154</v>
      </c>
      <c r="J124" s="72">
        <v>0.75038186500627169</v>
      </c>
      <c r="K124" s="72">
        <v>0.77031564361559424</v>
      </c>
      <c r="L124" s="72">
        <v>0.74834885838174781</v>
      </c>
      <c r="M124" s="72">
        <v>0.75026676682674542</v>
      </c>
    </row>
    <row r="125" spans="1:13" x14ac:dyDescent="0.25">
      <c r="A125" t="s">
        <v>101</v>
      </c>
      <c r="B125" s="53">
        <v>-26.676414667304861</v>
      </c>
      <c r="C125" s="53">
        <v>-16.783597014330411</v>
      </c>
      <c r="D125" s="53">
        <v>-11.699306783734542</v>
      </c>
      <c r="E125" s="53">
        <v>-22.626160959869914</v>
      </c>
      <c r="F125" s="53">
        <v>-24.126316267271129</v>
      </c>
      <c r="G125" s="53">
        <v>-24.618788044022956</v>
      </c>
      <c r="H125" s="53"/>
      <c r="I125" s="53">
        <v>-14.695790870865588</v>
      </c>
      <c r="J125" s="53">
        <v>-17.567875793094156</v>
      </c>
      <c r="K125" s="53">
        <v>-17.419179663662465</v>
      </c>
      <c r="L125" s="53">
        <v>-18.347333842171352</v>
      </c>
      <c r="M125" s="53">
        <v>-19.04644511532938</v>
      </c>
    </row>
    <row r="126" spans="1:13" x14ac:dyDescent="0.25">
      <c r="A126" t="s">
        <v>103</v>
      </c>
      <c r="B126" s="53">
        <v>-33.161348526401511</v>
      </c>
      <c r="C126" s="53">
        <v>-18.523311695620713</v>
      </c>
      <c r="D126" s="53">
        <v>-16.244186289960936</v>
      </c>
      <c r="E126" s="53">
        <v>-34.2691879702639</v>
      </c>
      <c r="F126" s="53">
        <v>-38.099782879259521</v>
      </c>
      <c r="G126" s="53">
        <v>-35.222749158544396</v>
      </c>
      <c r="H126" s="53"/>
      <c r="I126" s="53">
        <v>-15.272986778380737</v>
      </c>
      <c r="J126" s="53">
        <v>-23.455621731566232</v>
      </c>
      <c r="K126" s="53">
        <v>-22.003101467079624</v>
      </c>
      <c r="L126" s="53">
        <v>-23.533972987752616</v>
      </c>
      <c r="M126" s="53">
        <v>-25.001667687367668</v>
      </c>
    </row>
    <row r="127" spans="1:13" x14ac:dyDescent="0.25">
      <c r="A127" t="s">
        <v>160</v>
      </c>
      <c r="B127" s="54">
        <v>16.636692362123309</v>
      </c>
      <c r="C127" s="54">
        <v>18.115047066578409</v>
      </c>
      <c r="D127" s="54">
        <v>18.881945014366377</v>
      </c>
      <c r="E127" s="54">
        <v>17.764387287772511</v>
      </c>
      <c r="F127" s="54">
        <v>18.034094195978945</v>
      </c>
      <c r="G127" s="54">
        <v>17.946920313193285</v>
      </c>
      <c r="H127" s="54"/>
      <c r="I127" s="54">
        <v>17.397924758786573</v>
      </c>
      <c r="J127" s="54">
        <v>17.868191942020925</v>
      </c>
      <c r="K127" s="54">
        <v>17.726643013303523</v>
      </c>
      <c r="L127" s="54">
        <v>17.851883229363544</v>
      </c>
      <c r="M127" s="54">
        <v>17.474415036898506</v>
      </c>
    </row>
    <row r="128" spans="1:13" x14ac:dyDescent="0.25">
      <c r="A128" t="s">
        <v>161</v>
      </c>
      <c r="B128" s="54">
        <v>15.172018194899831</v>
      </c>
      <c r="C128" s="54">
        <v>15.654991925330869</v>
      </c>
      <c r="D128" s="54">
        <v>15.724096447083101</v>
      </c>
      <c r="E128" s="54">
        <v>15.744866364611781</v>
      </c>
      <c r="F128" s="54">
        <v>15.75505579671057</v>
      </c>
      <c r="G128" s="54">
        <v>15.747394506172904</v>
      </c>
      <c r="H128" s="54"/>
      <c r="I128" s="54">
        <v>15.671352626969908</v>
      </c>
      <c r="J128" s="54">
        <v>15.758472772128949</v>
      </c>
      <c r="K128" s="54">
        <v>15.698561318994686</v>
      </c>
      <c r="L128" s="54">
        <v>15.747548154691204</v>
      </c>
      <c r="M128" s="54">
        <v>15.677024827636407</v>
      </c>
    </row>
    <row r="129" spans="1:14" x14ac:dyDescent="0.25">
      <c r="A129" t="s">
        <v>162</v>
      </c>
      <c r="B129" s="54">
        <v>37.413299417006101</v>
      </c>
      <c r="C129" s="54">
        <v>39.901111584732028</v>
      </c>
      <c r="D129" s="54">
        <v>40.344789760663872</v>
      </c>
      <c r="E129" s="54">
        <v>38.639707133517263</v>
      </c>
      <c r="F129" s="54">
        <v>40.441794953140274</v>
      </c>
      <c r="G129" s="54">
        <v>39.161859697536364</v>
      </c>
      <c r="H129" s="54"/>
      <c r="I129" s="54">
        <v>39.611270265472683</v>
      </c>
      <c r="J129" s="54">
        <v>41.593539003108212</v>
      </c>
      <c r="K129" s="54">
        <v>41.496078508139199</v>
      </c>
      <c r="L129" s="54">
        <v>42.984029490400324</v>
      </c>
      <c r="M129" s="54">
        <v>43.312458703061253</v>
      </c>
    </row>
    <row r="130" spans="1:14" x14ac:dyDescent="0.25">
      <c r="B130" s="57"/>
      <c r="C130" s="57"/>
      <c r="D130" s="57"/>
      <c r="E130" s="57"/>
      <c r="F130" s="57"/>
      <c r="G130" s="57"/>
      <c r="H130" s="57"/>
      <c r="I130" s="57"/>
      <c r="J130" s="57"/>
      <c r="K130" s="57"/>
      <c r="L130" s="57"/>
      <c r="M130" s="57"/>
    </row>
    <row r="131" spans="1:14" x14ac:dyDescent="0.25">
      <c r="A131" t="s">
        <v>163</v>
      </c>
      <c r="B131" s="54">
        <v>2.4186614250828673</v>
      </c>
      <c r="C131" s="54">
        <v>1.9713469695757808</v>
      </c>
      <c r="D131" s="54">
        <v>1.7098155674197604</v>
      </c>
      <c r="E131" s="54">
        <v>2.7385334210328471</v>
      </c>
      <c r="F131" s="54">
        <v>2.5093408823533982</v>
      </c>
      <c r="G131" s="54">
        <v>2.3182449390521911</v>
      </c>
      <c r="H131" s="54"/>
      <c r="I131" s="54">
        <v>2.1932998722525263</v>
      </c>
      <c r="J131" s="54">
        <v>2.4394967451072036</v>
      </c>
      <c r="K131" s="54">
        <v>2.0881438803085977</v>
      </c>
      <c r="L131" s="54">
        <v>2.0820302723008135</v>
      </c>
      <c r="M131" s="54">
        <v>2.0661882172783459</v>
      </c>
    </row>
    <row r="132" spans="1:14" x14ac:dyDescent="0.25">
      <c r="A132" t="s">
        <v>164</v>
      </c>
      <c r="B132" s="54">
        <v>2.4186614250828673</v>
      </c>
      <c r="C132" s="54">
        <v>1.5250780186056947</v>
      </c>
      <c r="D132" s="54">
        <v>1.4996874009062853</v>
      </c>
      <c r="E132" s="54">
        <v>2.443512005342142</v>
      </c>
      <c r="F132" s="54">
        <v>3.0226613897642114</v>
      </c>
      <c r="G132" s="54">
        <v>2.166379963568998</v>
      </c>
      <c r="H132" s="54"/>
      <c r="I132" s="54">
        <v>2.53583178330633</v>
      </c>
      <c r="J132" s="54">
        <v>2.0118920260770525</v>
      </c>
      <c r="K132" s="54">
        <v>1.8996180272490077</v>
      </c>
      <c r="L132" s="54">
        <v>2.0827261663640702</v>
      </c>
      <c r="M132" s="54">
        <v>2.0599694338415855</v>
      </c>
    </row>
    <row r="135" spans="1:14" x14ac:dyDescent="0.25">
      <c r="H135" s="3"/>
      <c r="I135" s="3"/>
      <c r="J135" s="3"/>
      <c r="K135" s="3"/>
    </row>
    <row r="136" spans="1:14" x14ac:dyDescent="0.25">
      <c r="A136" s="3"/>
      <c r="B136" s="3"/>
      <c r="C136" s="3"/>
      <c r="D136" s="3"/>
      <c r="E136" s="3"/>
      <c r="F136" s="3"/>
      <c r="G136" s="3"/>
      <c r="H136" s="3"/>
      <c r="I136" s="3"/>
      <c r="J136" s="3"/>
      <c r="K136" s="3"/>
    </row>
    <row r="137" spans="1:14" x14ac:dyDescent="0.25">
      <c r="A137" s="3"/>
      <c r="B137" s="3"/>
      <c r="C137" s="3"/>
      <c r="D137" s="3"/>
      <c r="E137" s="3"/>
      <c r="F137" s="3"/>
      <c r="G137" s="3"/>
      <c r="H137" s="3"/>
      <c r="I137" s="3"/>
      <c r="J137" s="3"/>
      <c r="K137" s="3"/>
    </row>
    <row r="138" spans="1:14" x14ac:dyDescent="0.25">
      <c r="A138" s="3"/>
      <c r="B138" s="3"/>
      <c r="C138" s="3"/>
      <c r="D138" s="3"/>
      <c r="E138" s="3"/>
      <c r="F138" s="3"/>
      <c r="G138" s="3"/>
      <c r="H138" s="3"/>
      <c r="I138" s="3"/>
      <c r="J138" s="3"/>
      <c r="K138" s="3"/>
      <c r="L138" s="3"/>
      <c r="M138" s="3"/>
      <c r="N138" s="3"/>
    </row>
    <row r="139" spans="1:14" x14ac:dyDescent="0.25">
      <c r="A139" s="3"/>
      <c r="B139" s="3"/>
      <c r="C139" s="3"/>
      <c r="D139" s="3"/>
      <c r="E139" s="3"/>
      <c r="F139" s="3"/>
      <c r="G139" s="3"/>
      <c r="H139" s="3"/>
      <c r="I139" s="3"/>
      <c r="J139" s="3"/>
      <c r="K139" s="3"/>
      <c r="L139" s="3"/>
      <c r="M139" s="3"/>
      <c r="N139" s="3"/>
    </row>
    <row r="140" spans="1:14" x14ac:dyDescent="0.25">
      <c r="A140" s="3"/>
      <c r="B140" s="3"/>
      <c r="C140" s="3"/>
      <c r="D140" s="3"/>
      <c r="E140" s="3"/>
      <c r="F140" s="3"/>
      <c r="G140" s="3"/>
      <c r="H140" s="3"/>
      <c r="I140" s="3"/>
      <c r="J140" s="3"/>
      <c r="K140" s="3"/>
      <c r="L140" s="3"/>
      <c r="M140" s="20"/>
      <c r="N140" s="3"/>
    </row>
    <row r="141" spans="1:14" x14ac:dyDescent="0.25">
      <c r="A141" s="3"/>
      <c r="B141" s="3"/>
      <c r="C141" s="3"/>
      <c r="D141" s="3"/>
      <c r="E141" s="3"/>
      <c r="F141" s="3"/>
      <c r="G141" s="3"/>
      <c r="H141" s="3"/>
      <c r="I141" s="3"/>
      <c r="J141" s="3"/>
      <c r="K141" s="3"/>
      <c r="L141" s="3"/>
      <c r="M141" s="20"/>
      <c r="N141" s="3"/>
    </row>
    <row r="142" spans="1:14" x14ac:dyDescent="0.25">
      <c r="A142" s="3"/>
      <c r="B142" s="3"/>
      <c r="C142" s="3"/>
      <c r="D142" s="3"/>
      <c r="E142" s="3"/>
      <c r="F142" s="3"/>
      <c r="G142" s="3"/>
      <c r="H142" s="3"/>
      <c r="I142" s="3"/>
      <c r="J142" s="3"/>
      <c r="K142" s="3"/>
      <c r="L142" s="3"/>
      <c r="M142" s="3"/>
      <c r="N142" s="3"/>
    </row>
    <row r="143" spans="1:14" x14ac:dyDescent="0.25">
      <c r="A143" s="3"/>
      <c r="B143" s="3"/>
      <c r="C143" s="3"/>
      <c r="D143" s="3"/>
      <c r="E143" s="3"/>
      <c r="F143" s="3"/>
      <c r="G143" s="3"/>
      <c r="H143" s="3"/>
      <c r="I143" s="3"/>
      <c r="J143" s="3"/>
      <c r="K143" s="3"/>
      <c r="L143" s="3"/>
      <c r="M143" s="3"/>
      <c r="N143" s="3"/>
    </row>
    <row r="144" spans="1:14" x14ac:dyDescent="0.25">
      <c r="A144" s="3"/>
      <c r="B144" s="3"/>
      <c r="C144" s="3"/>
      <c r="D144" s="3"/>
      <c r="E144" s="3"/>
      <c r="F144" s="3"/>
      <c r="G144" s="3"/>
      <c r="H144" s="3"/>
      <c r="I144" s="3"/>
      <c r="J144" s="3"/>
      <c r="K144" s="3"/>
      <c r="L144" s="3"/>
      <c r="M144" s="3"/>
      <c r="N144" s="3"/>
    </row>
    <row r="145" spans="1:14" x14ac:dyDescent="0.25">
      <c r="A145" s="3"/>
      <c r="B145" s="3"/>
      <c r="C145" s="3"/>
      <c r="D145" s="3"/>
      <c r="E145" s="3"/>
      <c r="F145" s="3"/>
      <c r="G145" s="3"/>
      <c r="H145" s="3"/>
      <c r="I145" s="3"/>
      <c r="J145" s="3"/>
      <c r="K145" s="3"/>
      <c r="L145" s="3"/>
      <c r="M145" s="3"/>
      <c r="N145" s="3"/>
    </row>
  </sheetData>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M33" sqref="M33"/>
    </sheetView>
  </sheetViews>
  <sheetFormatPr defaultColWidth="11.42578125" defaultRowHeight="15" x14ac:dyDescent="0.25"/>
  <sheetData/>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existing chemical data</vt:lpstr>
      <vt:lpstr>UoM traces &amp; isotopes</vt:lpstr>
      <vt:lpstr>REE patterns</vt:lpstr>
    </vt:vector>
  </TitlesOfParts>
  <Company>University of Tasmania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jayt1</dc:creator>
  <cp:lastModifiedBy>Jeremy Asimus</cp:lastModifiedBy>
  <cp:lastPrinted>2014-05-20T03:51:51Z</cp:lastPrinted>
  <dcterms:created xsi:type="dcterms:W3CDTF">2012-01-16T04:28:47Z</dcterms:created>
  <dcterms:modified xsi:type="dcterms:W3CDTF">2023-09-15T05:47:48Z</dcterms:modified>
</cp:coreProperties>
</file>