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universitytasmania-my.sharepoint.com/personal/jeremy_asimus_utas_edu_au/Documents/04. Geochemistry/04. Kerguelen isotopes/Nat_Plat_unpub_isotopes/"/>
    </mc:Choice>
  </mc:AlternateContent>
  <xr:revisionPtr revIDLastSave="37" documentId="11_8DDE309DE1243995211888CFDACA9CE391E2B456" xr6:coauthVersionLast="47" xr6:coauthVersionMax="47" xr10:uidLastSave="{65590D54-0610-477B-9AA0-BB9CB27943F3}"/>
  <bookViews>
    <workbookView xWindow="-28920" yWindow="0" windowWidth="29040" windowHeight="15720" tabRatio="500" activeTab="3" xr2:uid="{00000000-000D-0000-FFFF-FFFF00000000}"/>
  </bookViews>
  <sheets>
    <sheet name="ppb" sheetId="5" r:id="rId1"/>
    <sheet name="ree-std" sheetId="6" r:id="rId2"/>
    <sheet name="ree-DR" sheetId="7" r:id="rId3"/>
    <sheet name="summary table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2" i="8" l="1"/>
  <c r="C125" i="8"/>
  <c r="C124" i="8"/>
  <c r="C121" i="8"/>
  <c r="C119" i="8"/>
  <c r="C118" i="8"/>
  <c r="C117" i="8"/>
  <c r="C116" i="8"/>
  <c r="C102" i="8" l="1"/>
  <c r="C100" i="8"/>
  <c r="C97" i="8"/>
  <c r="C95" i="8"/>
  <c r="C112" i="8" l="1"/>
  <c r="G134" i="8" l="1"/>
  <c r="G135" i="8"/>
  <c r="G136" i="8"/>
  <c r="G133" i="8"/>
  <c r="Q105" i="8"/>
  <c r="Q104" i="8"/>
  <c r="Q103" i="8"/>
  <c r="D65" i="8"/>
  <c r="E65" i="8"/>
  <c r="F65" i="8"/>
  <c r="G65" i="8"/>
  <c r="C65" i="8"/>
  <c r="D71" i="8"/>
  <c r="E71" i="8"/>
  <c r="F71" i="8"/>
  <c r="G71" i="8"/>
  <c r="C71" i="8"/>
  <c r="F124" i="8"/>
  <c r="G124" i="8"/>
  <c r="D111" i="8"/>
  <c r="D112" i="8" s="1"/>
  <c r="E111" i="8"/>
  <c r="F111" i="8"/>
  <c r="F125" i="8"/>
  <c r="G111" i="8"/>
  <c r="G119" i="8" s="1"/>
  <c r="G125" i="8"/>
  <c r="E122" i="8"/>
  <c r="F122" i="8"/>
  <c r="F119" i="8"/>
  <c r="E119" i="8"/>
  <c r="G118" i="8"/>
  <c r="F118" i="8"/>
  <c r="E118" i="8"/>
  <c r="F117" i="8"/>
  <c r="E117" i="8"/>
  <c r="D117" i="8"/>
  <c r="G100" i="8"/>
  <c r="G116" i="8" s="1"/>
  <c r="F100" i="8"/>
  <c r="F116" i="8"/>
  <c r="E100" i="8"/>
  <c r="E125" i="8" s="1"/>
  <c r="E116" i="8"/>
  <c r="D100" i="8"/>
  <c r="D124" i="8" s="1"/>
  <c r="D116" i="8"/>
  <c r="F115" i="8"/>
  <c r="C115" i="8"/>
  <c r="G95" i="8"/>
  <c r="G113" i="8" s="1"/>
  <c r="G114" i="8"/>
  <c r="F95" i="8"/>
  <c r="F114" i="8" s="1"/>
  <c r="E95" i="8"/>
  <c r="E121" i="8" s="1"/>
  <c r="E114" i="8"/>
  <c r="D95" i="8"/>
  <c r="D121" i="8" s="1"/>
  <c r="C114" i="8"/>
  <c r="E113" i="8"/>
  <c r="G112" i="8"/>
  <c r="F112" i="8"/>
  <c r="E112" i="8"/>
  <c r="G102" i="8"/>
  <c r="F102" i="8"/>
  <c r="E102" i="8"/>
  <c r="D102" i="8"/>
  <c r="G97" i="8"/>
  <c r="F97" i="8"/>
  <c r="E97" i="8"/>
  <c r="D97" i="8"/>
  <c r="L15" i="8"/>
  <c r="P15" i="8"/>
  <c r="R15" i="8"/>
  <c r="D81" i="8"/>
  <c r="E81" i="8"/>
  <c r="F81" i="8"/>
  <c r="G81" i="8"/>
  <c r="D82" i="8"/>
  <c r="E82" i="8"/>
  <c r="F82" i="8"/>
  <c r="G82" i="8"/>
  <c r="C82" i="8"/>
  <c r="C81" i="8"/>
  <c r="D72" i="8"/>
  <c r="E72" i="8"/>
  <c r="F72" i="8"/>
  <c r="G72" i="8"/>
  <c r="D73" i="8"/>
  <c r="E73" i="8"/>
  <c r="F73" i="8"/>
  <c r="G73" i="8"/>
  <c r="D74" i="8"/>
  <c r="E74" i="8"/>
  <c r="F74" i="8"/>
  <c r="G74" i="8"/>
  <c r="C74" i="8"/>
  <c r="C73" i="8"/>
  <c r="C72" i="8"/>
  <c r="M58" i="8"/>
  <c r="N58" i="8"/>
  <c r="O58" i="8"/>
  <c r="P58" i="8"/>
  <c r="Q58" i="8"/>
  <c r="R58" i="8"/>
  <c r="L58" i="8"/>
  <c r="D80" i="5"/>
  <c r="K80" i="5"/>
  <c r="L80" i="5"/>
  <c r="H81" i="5"/>
  <c r="E82" i="5"/>
  <c r="K82" i="5"/>
  <c r="M82" i="5"/>
  <c r="D75" i="8"/>
  <c r="D78" i="8"/>
  <c r="E75" i="8"/>
  <c r="E78" i="8"/>
  <c r="F75" i="8"/>
  <c r="F78" i="8" s="1"/>
  <c r="G75" i="8"/>
  <c r="G78" i="8"/>
  <c r="D76" i="8"/>
  <c r="D79" i="8"/>
  <c r="E76" i="8"/>
  <c r="E79" i="8"/>
  <c r="F76" i="8"/>
  <c r="F79" i="8" s="1"/>
  <c r="G76" i="8"/>
  <c r="G79" i="8"/>
  <c r="C76" i="8"/>
  <c r="C79" i="8"/>
  <c r="C75" i="8"/>
  <c r="C78" i="8"/>
  <c r="Q5" i="5"/>
  <c r="R5" i="5"/>
  <c r="S5" i="5"/>
  <c r="T5" i="5"/>
  <c r="Q6" i="5"/>
  <c r="R6" i="5"/>
  <c r="S6" i="5"/>
  <c r="T6" i="5"/>
  <c r="Q7" i="5"/>
  <c r="R7" i="5"/>
  <c r="S7" i="5"/>
  <c r="T7" i="5"/>
  <c r="Q8" i="5"/>
  <c r="R8" i="5"/>
  <c r="S8" i="5"/>
  <c r="T8" i="5"/>
  <c r="Q9" i="5"/>
  <c r="R9" i="5"/>
  <c r="S9" i="5"/>
  <c r="T9" i="5"/>
  <c r="Q10" i="5"/>
  <c r="R10" i="5"/>
  <c r="S10" i="5"/>
  <c r="T10" i="5"/>
  <c r="Q11" i="5"/>
  <c r="R11" i="5"/>
  <c r="S11" i="5"/>
  <c r="T11" i="5"/>
  <c r="Q12" i="5"/>
  <c r="R12" i="5"/>
  <c r="S12" i="5"/>
  <c r="T12" i="5"/>
  <c r="Q13" i="5"/>
  <c r="R13" i="5"/>
  <c r="S13" i="5"/>
  <c r="T13" i="5"/>
  <c r="Q14" i="5"/>
  <c r="R14" i="5"/>
  <c r="S14" i="5"/>
  <c r="T14" i="5"/>
  <c r="Q15" i="5"/>
  <c r="R15" i="5"/>
  <c r="S15" i="5"/>
  <c r="T15" i="5"/>
  <c r="Q16" i="5"/>
  <c r="R16" i="5"/>
  <c r="S16" i="5"/>
  <c r="T16" i="5"/>
  <c r="Q17" i="5"/>
  <c r="R17" i="5"/>
  <c r="S17" i="5"/>
  <c r="T17" i="5"/>
  <c r="Q18" i="5"/>
  <c r="R18" i="5"/>
  <c r="S18" i="5"/>
  <c r="T18" i="5"/>
  <c r="Q19" i="5"/>
  <c r="R19" i="5"/>
  <c r="S19" i="5"/>
  <c r="T19" i="5"/>
  <c r="Q20" i="5"/>
  <c r="R20" i="5"/>
  <c r="S20" i="5"/>
  <c r="T20" i="5"/>
  <c r="Q21" i="5"/>
  <c r="R21" i="5"/>
  <c r="S21" i="5"/>
  <c r="T21" i="5"/>
  <c r="Q22" i="5"/>
  <c r="R22" i="5"/>
  <c r="S22" i="5"/>
  <c r="T22" i="5"/>
  <c r="Q23" i="5"/>
  <c r="R23" i="5"/>
  <c r="S23" i="5"/>
  <c r="T23" i="5"/>
  <c r="Q24" i="5"/>
  <c r="R24" i="5"/>
  <c r="S24" i="5"/>
  <c r="T24" i="5"/>
  <c r="Q25" i="5"/>
  <c r="R25" i="5"/>
  <c r="S25" i="5"/>
  <c r="T25" i="5"/>
  <c r="Q26" i="5"/>
  <c r="R26" i="5"/>
  <c r="S26" i="5"/>
  <c r="T26" i="5"/>
  <c r="Q27" i="5"/>
  <c r="R27" i="5"/>
  <c r="S27" i="5"/>
  <c r="T27" i="5"/>
  <c r="Q28" i="5"/>
  <c r="R28" i="5"/>
  <c r="S28" i="5"/>
  <c r="T28" i="5"/>
  <c r="Q29" i="5"/>
  <c r="R29" i="5"/>
  <c r="S29" i="5"/>
  <c r="T29" i="5"/>
  <c r="Q30" i="5"/>
  <c r="R30" i="5"/>
  <c r="S30" i="5"/>
  <c r="T30" i="5"/>
  <c r="Q31" i="5"/>
  <c r="R31" i="5"/>
  <c r="S31" i="5"/>
  <c r="T31" i="5"/>
  <c r="Q32" i="5"/>
  <c r="R32" i="5"/>
  <c r="S32" i="5"/>
  <c r="T32" i="5"/>
  <c r="Q33" i="5"/>
  <c r="R33" i="5"/>
  <c r="S33" i="5"/>
  <c r="T33" i="5"/>
  <c r="Q34" i="5"/>
  <c r="R34" i="5"/>
  <c r="S34" i="5"/>
  <c r="T34" i="5"/>
  <c r="Q35" i="5"/>
  <c r="R35" i="5"/>
  <c r="S35" i="5"/>
  <c r="T35" i="5"/>
  <c r="Q36" i="5"/>
  <c r="R36" i="5"/>
  <c r="S36" i="5"/>
  <c r="T36" i="5"/>
  <c r="Q37" i="5"/>
  <c r="R37" i="5"/>
  <c r="S37" i="5"/>
  <c r="T37" i="5"/>
  <c r="Q38" i="5"/>
  <c r="R38" i="5"/>
  <c r="S38" i="5"/>
  <c r="T38" i="5"/>
  <c r="Q39" i="5"/>
  <c r="R39" i="5"/>
  <c r="S39" i="5"/>
  <c r="T39" i="5"/>
  <c r="Q40" i="5"/>
  <c r="R40" i="5"/>
  <c r="S40" i="5"/>
  <c r="T40" i="5"/>
  <c r="Q41" i="5"/>
  <c r="R41" i="5"/>
  <c r="S41" i="5"/>
  <c r="T41" i="5"/>
  <c r="Q42" i="5"/>
  <c r="R42" i="5"/>
  <c r="S42" i="5"/>
  <c r="T42" i="5"/>
  <c r="Q43" i="5"/>
  <c r="R43" i="5"/>
  <c r="S43" i="5"/>
  <c r="T43" i="5"/>
  <c r="Q44" i="5"/>
  <c r="R44" i="5"/>
  <c r="S44" i="5"/>
  <c r="T44" i="5"/>
  <c r="Q45" i="5"/>
  <c r="R45" i="5"/>
  <c r="S45" i="5"/>
  <c r="T45" i="5"/>
  <c r="Q46" i="5"/>
  <c r="R46" i="5"/>
  <c r="S46" i="5"/>
  <c r="T46" i="5"/>
  <c r="Q47" i="5"/>
  <c r="R47" i="5"/>
  <c r="S47" i="5"/>
  <c r="T47" i="5"/>
  <c r="Q48" i="5"/>
  <c r="R48" i="5"/>
  <c r="S48" i="5"/>
  <c r="T48" i="5"/>
  <c r="Q49" i="5"/>
  <c r="R49" i="5"/>
  <c r="S49" i="5"/>
  <c r="T49" i="5"/>
  <c r="Q50" i="5"/>
  <c r="R50" i="5"/>
  <c r="S50" i="5"/>
  <c r="T50" i="5"/>
  <c r="Q51" i="5"/>
  <c r="R51" i="5"/>
  <c r="S51" i="5"/>
  <c r="T51" i="5"/>
  <c r="Q52" i="5"/>
  <c r="R52" i="5"/>
  <c r="S52" i="5"/>
  <c r="T52" i="5"/>
  <c r="Q53" i="5"/>
  <c r="R53" i="5"/>
  <c r="S53" i="5"/>
  <c r="T53" i="5"/>
  <c r="S54" i="5"/>
  <c r="T54" i="5"/>
  <c r="Q55" i="5"/>
  <c r="R55" i="5"/>
  <c r="S55" i="5"/>
  <c r="T5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5" i="5"/>
  <c r="P5" i="5"/>
  <c r="F15" i="8"/>
  <c r="E15" i="8"/>
  <c r="D15" i="8"/>
  <c r="G15" i="8"/>
  <c r="C15" i="8"/>
  <c r="D60" i="5"/>
  <c r="E60" i="5"/>
  <c r="F60" i="5"/>
  <c r="G60" i="5"/>
  <c r="H60" i="5"/>
  <c r="I60" i="5"/>
  <c r="J60" i="5"/>
  <c r="K60" i="5"/>
  <c r="L60" i="5"/>
  <c r="M60" i="5"/>
  <c r="N60" i="5"/>
  <c r="C60" i="5"/>
  <c r="D54" i="5"/>
  <c r="E54" i="5"/>
  <c r="F54" i="5"/>
  <c r="G54" i="5"/>
  <c r="H54" i="5"/>
  <c r="I54" i="5"/>
  <c r="J54" i="5"/>
  <c r="P54" i="5" s="1"/>
  <c r="K54" i="5"/>
  <c r="Q54" i="5" s="1"/>
  <c r="L54" i="5"/>
  <c r="R54" i="5" s="1"/>
  <c r="M54" i="5"/>
  <c r="N54" i="5"/>
  <c r="C54" i="5"/>
  <c r="N69" i="5"/>
  <c r="N68" i="5"/>
  <c r="N70" i="5"/>
  <c r="N79" i="5"/>
  <c r="M69" i="5"/>
  <c r="M79" i="5" s="1"/>
  <c r="M68" i="5"/>
  <c r="M70" i="5"/>
  <c r="L69" i="5"/>
  <c r="L68" i="5"/>
  <c r="L70" i="5"/>
  <c r="L82" i="5" s="1"/>
  <c r="L79" i="5"/>
  <c r="K69" i="5"/>
  <c r="K79" i="5" s="1"/>
  <c r="K68" i="5"/>
  <c r="K70" i="5"/>
  <c r="J69" i="5"/>
  <c r="J68" i="5"/>
  <c r="J80" i="5" s="1"/>
  <c r="J70" i="5"/>
  <c r="J82" i="5" s="1"/>
  <c r="J79" i="5"/>
  <c r="I69" i="5"/>
  <c r="I79" i="5" s="1"/>
  <c r="I68" i="5"/>
  <c r="I70" i="5"/>
  <c r="I82" i="5" s="1"/>
  <c r="H69" i="5"/>
  <c r="H68" i="5"/>
  <c r="H70" i="5"/>
  <c r="H82" i="5" s="1"/>
  <c r="H79" i="5"/>
  <c r="G69" i="5"/>
  <c r="G79" i="5" s="1"/>
  <c r="G68" i="5"/>
  <c r="G70" i="5"/>
  <c r="G82" i="5" s="1"/>
  <c r="F69" i="5"/>
  <c r="F68" i="5"/>
  <c r="F70" i="5"/>
  <c r="F79" i="5"/>
  <c r="E69" i="5"/>
  <c r="E79" i="5" s="1"/>
  <c r="E68" i="5"/>
  <c r="E70" i="5"/>
  <c r="D69" i="5"/>
  <c r="D68" i="5"/>
  <c r="D70" i="5"/>
  <c r="D82" i="5" s="1"/>
  <c r="D79" i="5"/>
  <c r="C69" i="5"/>
  <c r="C79" i="5" s="1"/>
  <c r="C68" i="5"/>
  <c r="C70" i="5"/>
  <c r="C82" i="5" s="1"/>
  <c r="N77" i="5"/>
  <c r="M77" i="5"/>
  <c r="L77" i="5"/>
  <c r="K77" i="5"/>
  <c r="J77" i="5"/>
  <c r="I77" i="5"/>
  <c r="H77" i="5"/>
  <c r="G77" i="5"/>
  <c r="F77" i="5"/>
  <c r="E77" i="5"/>
  <c r="D77" i="5"/>
  <c r="C77" i="5"/>
  <c r="N76" i="5"/>
  <c r="N82" i="5" s="1"/>
  <c r="M76" i="5"/>
  <c r="L76" i="5"/>
  <c r="K76" i="5"/>
  <c r="J76" i="5"/>
  <c r="I76" i="5"/>
  <c r="H76" i="5"/>
  <c r="G76" i="5"/>
  <c r="F76" i="5"/>
  <c r="F82" i="5" s="1"/>
  <c r="E76" i="5"/>
  <c r="D76" i="5"/>
  <c r="C76" i="5"/>
  <c r="N75" i="5"/>
  <c r="M75" i="5"/>
  <c r="L75" i="5"/>
  <c r="K75" i="5"/>
  <c r="J75" i="5"/>
  <c r="I75" i="5"/>
  <c r="H75" i="5"/>
  <c r="G75" i="5"/>
  <c r="F75" i="5"/>
  <c r="E75" i="5"/>
  <c r="D75" i="5"/>
  <c r="C75" i="5"/>
  <c r="N74" i="5"/>
  <c r="M74" i="5"/>
  <c r="L74" i="5"/>
  <c r="K74" i="5"/>
  <c r="J74" i="5"/>
  <c r="I74" i="5"/>
  <c r="H74" i="5"/>
  <c r="G74" i="5"/>
  <c r="F74" i="5"/>
  <c r="E74" i="5"/>
  <c r="D74" i="5"/>
  <c r="C74" i="5"/>
  <c r="N73" i="5"/>
  <c r="M73" i="5"/>
  <c r="L73" i="5"/>
  <c r="K73" i="5"/>
  <c r="J73" i="5"/>
  <c r="I73" i="5"/>
  <c r="H73" i="5"/>
  <c r="G73" i="5"/>
  <c r="F73" i="5"/>
  <c r="E73" i="5"/>
  <c r="D73" i="5"/>
  <c r="C73" i="5"/>
  <c r="N72" i="5"/>
  <c r="M72" i="5"/>
  <c r="L72" i="5"/>
  <c r="K72" i="5"/>
  <c r="J72" i="5"/>
  <c r="I72" i="5"/>
  <c r="H72" i="5"/>
  <c r="G72" i="5"/>
  <c r="F72" i="5"/>
  <c r="E72" i="5"/>
  <c r="D72" i="5"/>
  <c r="C72" i="5"/>
  <c r="N71" i="5"/>
  <c r="M71" i="5"/>
  <c r="L71" i="5"/>
  <c r="K71" i="5"/>
  <c r="J71" i="5"/>
  <c r="I71" i="5"/>
  <c r="H71" i="5"/>
  <c r="G71" i="5"/>
  <c r="F71" i="5"/>
  <c r="E71" i="5"/>
  <c r="D71" i="5"/>
  <c r="C71" i="5"/>
  <c r="N66" i="5"/>
  <c r="N67" i="5" s="1"/>
  <c r="M66" i="5"/>
  <c r="M67" i="5" s="1"/>
  <c r="L66" i="5"/>
  <c r="L67" i="5"/>
  <c r="K66" i="5"/>
  <c r="K67" i="5"/>
  <c r="J66" i="5"/>
  <c r="J67" i="5" s="1"/>
  <c r="I66" i="5"/>
  <c r="I67" i="5"/>
  <c r="H66" i="5"/>
  <c r="H67" i="5"/>
  <c r="G66" i="5"/>
  <c r="G67" i="5"/>
  <c r="F66" i="5"/>
  <c r="F67" i="5" s="1"/>
  <c r="E66" i="5"/>
  <c r="E67" i="5"/>
  <c r="D66" i="5"/>
  <c r="D67" i="5"/>
  <c r="C66" i="5"/>
  <c r="C67" i="5"/>
  <c r="N65" i="5"/>
  <c r="M65" i="5"/>
  <c r="L65" i="5"/>
  <c r="K65" i="5"/>
  <c r="J65" i="5"/>
  <c r="I65" i="5"/>
  <c r="H65" i="5"/>
  <c r="G65" i="5"/>
  <c r="F65" i="5"/>
  <c r="E65" i="5"/>
  <c r="D65" i="5"/>
  <c r="C65" i="5"/>
  <c r="N64" i="5"/>
  <c r="M64" i="5"/>
  <c r="L64" i="5"/>
  <c r="K64" i="5"/>
  <c r="J64" i="5"/>
  <c r="I64" i="5"/>
  <c r="H64" i="5"/>
  <c r="G64" i="5"/>
  <c r="F64" i="5"/>
  <c r="E64" i="5"/>
  <c r="D64" i="5"/>
  <c r="C64" i="5"/>
  <c r="N63" i="5"/>
  <c r="N80" i="5" s="1"/>
  <c r="M63" i="5"/>
  <c r="M80" i="5" s="1"/>
  <c r="L63" i="5"/>
  <c r="L81" i="5" s="1"/>
  <c r="K63" i="5"/>
  <c r="K81" i="5" s="1"/>
  <c r="J63" i="5"/>
  <c r="J81" i="5" s="1"/>
  <c r="I63" i="5"/>
  <c r="I80" i="5" s="1"/>
  <c r="H63" i="5"/>
  <c r="H80" i="5" s="1"/>
  <c r="G63" i="5"/>
  <c r="G80" i="5" s="1"/>
  <c r="F63" i="5"/>
  <c r="F80" i="5" s="1"/>
  <c r="E63" i="5"/>
  <c r="E80" i="5" s="1"/>
  <c r="D63" i="5"/>
  <c r="D81" i="5" s="1"/>
  <c r="C63" i="5"/>
  <c r="C81" i="5" s="1"/>
  <c r="N62" i="5"/>
  <c r="M62" i="5"/>
  <c r="L62" i="5"/>
  <c r="K62" i="5"/>
  <c r="J62" i="5"/>
  <c r="I62" i="5"/>
  <c r="H62" i="5"/>
  <c r="G62" i="5"/>
  <c r="F62" i="5"/>
  <c r="E62" i="5"/>
  <c r="D62" i="5"/>
  <c r="C62" i="5"/>
  <c r="N59" i="5"/>
  <c r="M59" i="5"/>
  <c r="L59" i="5"/>
  <c r="K59" i="5"/>
  <c r="J59" i="5"/>
  <c r="I59" i="5"/>
  <c r="H59" i="5"/>
  <c r="G59" i="5"/>
  <c r="F59" i="5"/>
  <c r="E59" i="5"/>
  <c r="D59" i="5"/>
  <c r="C59" i="5"/>
  <c r="N58" i="5"/>
  <c r="M58" i="5"/>
  <c r="L58" i="5"/>
  <c r="K58" i="5"/>
  <c r="J58" i="5"/>
  <c r="I58" i="5"/>
  <c r="H58" i="5"/>
  <c r="G58" i="5"/>
  <c r="F58" i="5"/>
  <c r="E58" i="5"/>
  <c r="D58" i="5"/>
  <c r="C58" i="5"/>
  <c r="N57" i="5"/>
  <c r="M57" i="5"/>
  <c r="L57" i="5"/>
  <c r="K57" i="5"/>
  <c r="J57" i="5"/>
  <c r="I57" i="5"/>
  <c r="H57" i="5"/>
  <c r="G57" i="5"/>
  <c r="F57" i="5"/>
  <c r="E57" i="5"/>
  <c r="D57" i="5"/>
  <c r="C57" i="5"/>
  <c r="I81" i="5" l="1"/>
  <c r="G122" i="8"/>
  <c r="D125" i="8"/>
  <c r="G81" i="5"/>
  <c r="D114" i="8"/>
  <c r="F81" i="5"/>
  <c r="C113" i="8"/>
  <c r="D119" i="8"/>
  <c r="D122" i="8"/>
  <c r="N81" i="5"/>
  <c r="D115" i="8"/>
  <c r="M81" i="5"/>
  <c r="E81" i="5"/>
  <c r="D113" i="8"/>
  <c r="E115" i="8"/>
  <c r="G117" i="8"/>
  <c r="G121" i="8"/>
  <c r="C80" i="5"/>
  <c r="F121" i="8"/>
  <c r="E124" i="8"/>
  <c r="F113" i="8"/>
  <c r="G115" i="8"/>
  <c r="D118" i="8"/>
</calcChain>
</file>

<file path=xl/sharedStrings.xml><?xml version="1.0" encoding="utf-8"?>
<sst xmlns="http://schemas.openxmlformats.org/spreadsheetml/2006/main" count="372" uniqueCount="199">
  <si>
    <t>GSP2-D</t>
  </si>
  <si>
    <t>DR21-1</t>
  </si>
  <si>
    <t>DR21-2</t>
  </si>
  <si>
    <t>DR21-4</t>
  </si>
  <si>
    <t>DR21-8</t>
  </si>
  <si>
    <t>DR21-11</t>
  </si>
  <si>
    <t>W2-K</t>
  </si>
  <si>
    <t>W2a15</t>
  </si>
  <si>
    <t>BCR2-P</t>
  </si>
  <si>
    <t>BCR2-glass</t>
  </si>
  <si>
    <t>JB3-9</t>
  </si>
  <si>
    <t>JB3-8</t>
  </si>
  <si>
    <t>Sample Name</t>
  </si>
  <si>
    <t>Conc. [ ppb ]</t>
  </si>
  <si>
    <t xml:space="preserve">7  Li   </t>
  </si>
  <si>
    <t xml:space="preserve">9  Be   </t>
  </si>
  <si>
    <t xml:space="preserve">43  Ca   </t>
  </si>
  <si>
    <t xml:space="preserve">45  Sc   </t>
  </si>
  <si>
    <t xml:space="preserve">49  Ti   </t>
  </si>
  <si>
    <t xml:space="preserve">51  V   </t>
  </si>
  <si>
    <t xml:space="preserve">53  Cr   </t>
  </si>
  <si>
    <t xml:space="preserve">59  Co   </t>
  </si>
  <si>
    <t xml:space="preserve">60  Ni   </t>
  </si>
  <si>
    <t xml:space="preserve">65  Cu   </t>
  </si>
  <si>
    <t xml:space="preserve">66  Zn   </t>
  </si>
  <si>
    <t xml:space="preserve">71  Ga   </t>
  </si>
  <si>
    <t xml:space="preserve">75  As   </t>
  </si>
  <si>
    <t xml:space="preserve">85  Rb   </t>
  </si>
  <si>
    <t xml:space="preserve">86  Sr   </t>
  </si>
  <si>
    <t xml:space="preserve">88  Sr   </t>
  </si>
  <si>
    <t xml:space="preserve">89  Y   </t>
  </si>
  <si>
    <t xml:space="preserve">90  Zr   </t>
  </si>
  <si>
    <t xml:space="preserve">91  Zr   </t>
  </si>
  <si>
    <t xml:space="preserve">93  Nb   </t>
  </si>
  <si>
    <t xml:space="preserve">98  Mo   </t>
  </si>
  <si>
    <t xml:space="preserve">114  Cd   </t>
  </si>
  <si>
    <t xml:space="preserve">115  In   </t>
  </si>
  <si>
    <t xml:space="preserve">120  Sn   </t>
  </si>
  <si>
    <t xml:space="preserve">121  Sb   </t>
  </si>
  <si>
    <t xml:space="preserve">133  Cs   </t>
  </si>
  <si>
    <t xml:space="preserve">135  Ba   </t>
  </si>
  <si>
    <t xml:space="preserve">137  Ba   </t>
  </si>
  <si>
    <t xml:space="preserve">139  La   </t>
  </si>
  <si>
    <t xml:space="preserve">140  Ce   </t>
  </si>
  <si>
    <t xml:space="preserve">141  Pr   </t>
  </si>
  <si>
    <t xml:space="preserve">146  Nd   </t>
  </si>
  <si>
    <t xml:space="preserve">149  Sm   </t>
  </si>
  <si>
    <t xml:space="preserve">151  Eu   </t>
  </si>
  <si>
    <t xml:space="preserve">159  Tb   </t>
  </si>
  <si>
    <t xml:space="preserve">160  Gd   </t>
  </si>
  <si>
    <t xml:space="preserve">161  Dy   </t>
  </si>
  <si>
    <t xml:space="preserve">165  Ho   </t>
  </si>
  <si>
    <t xml:space="preserve">167  Er   </t>
  </si>
  <si>
    <t xml:space="preserve">169  Tm   </t>
  </si>
  <si>
    <t xml:space="preserve">172  Yb   </t>
  </si>
  <si>
    <t xml:space="preserve">175  Lu   </t>
  </si>
  <si>
    <t xml:space="preserve">178  Hf   </t>
  </si>
  <si>
    <t xml:space="preserve">181  Ta   </t>
  </si>
  <si>
    <t xml:space="preserve">184  W   </t>
  </si>
  <si>
    <t xml:space="preserve">205  Tl   </t>
  </si>
  <si>
    <t xml:space="preserve">209  Bi   </t>
  </si>
  <si>
    <t xml:space="preserve">232  Th   </t>
  </si>
  <si>
    <t xml:space="preserve">238  U   </t>
  </si>
  <si>
    <t xml:space="preserve">208/7/6  Pb   </t>
  </si>
  <si>
    <t>Nb/Ta</t>
  </si>
  <si>
    <t>Zr/Hf</t>
  </si>
  <si>
    <t>Y/Ho</t>
  </si>
  <si>
    <t>samp/chondrites</t>
  </si>
  <si>
    <t>La</t>
  </si>
  <si>
    <t>Ce</t>
  </si>
  <si>
    <t>Pr</t>
  </si>
  <si>
    <t>Nd</t>
  </si>
  <si>
    <t>Pm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</si>
  <si>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</si>
  <si>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</si>
  <si>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</si>
  <si>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</si>
  <si>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</si>
  <si>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</si>
  <si>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</si>
  <si>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</si>
  <si>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</si>
  <si>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</si>
  <si>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Eu*</t>
  </si>
  <si>
    <t xml:space="preserve">corrected232  Th   </t>
  </si>
  <si>
    <t>dilution factor:</t>
  </si>
  <si>
    <t>Lu/Hf</t>
  </si>
  <si>
    <t>Element</t>
  </si>
  <si>
    <t>Na2O</t>
  </si>
  <si>
    <t>MgO</t>
  </si>
  <si>
    <t>Al2O3</t>
  </si>
  <si>
    <t>SiO2</t>
  </si>
  <si>
    <t>P2O5</t>
  </si>
  <si>
    <t>SO3</t>
  </si>
  <si>
    <t>K2O</t>
  </si>
  <si>
    <t>CaO</t>
  </si>
  <si>
    <t>TiO2</t>
  </si>
  <si>
    <t>MnO</t>
  </si>
  <si>
    <t>Fe2O3</t>
  </si>
  <si>
    <t>%</t>
  </si>
  <si>
    <t>DR 21-1</t>
  </si>
  <si>
    <t>DR 21-11</t>
  </si>
  <si>
    <t>DR 21-2</t>
  </si>
  <si>
    <t>DR 21-4</t>
  </si>
  <si>
    <t>DR 21-8</t>
  </si>
  <si>
    <t>Li</t>
  </si>
  <si>
    <t>Be</t>
  </si>
  <si>
    <t>Sc</t>
  </si>
  <si>
    <t>V</t>
  </si>
  <si>
    <t>Cr</t>
  </si>
  <si>
    <t>Co</t>
  </si>
  <si>
    <t>Ni</t>
  </si>
  <si>
    <t>Cu</t>
  </si>
  <si>
    <t>Zn</t>
  </si>
  <si>
    <t>Ga</t>
  </si>
  <si>
    <t>As</t>
  </si>
  <si>
    <t>Rb</t>
  </si>
  <si>
    <t>Sr</t>
  </si>
  <si>
    <t>Y</t>
  </si>
  <si>
    <t>Zr</t>
  </si>
  <si>
    <t>Nb</t>
  </si>
  <si>
    <t>Mo</t>
  </si>
  <si>
    <t>Cd</t>
  </si>
  <si>
    <t>In</t>
  </si>
  <si>
    <t>Sn</t>
  </si>
  <si>
    <t>Sb</t>
  </si>
  <si>
    <t>Cs</t>
  </si>
  <si>
    <t>Ba</t>
  </si>
  <si>
    <t>Hf</t>
  </si>
  <si>
    <t>Ta</t>
  </si>
  <si>
    <t>W</t>
  </si>
  <si>
    <t>Tl</t>
  </si>
  <si>
    <t>Pbt</t>
  </si>
  <si>
    <t>Bi</t>
  </si>
  <si>
    <t>U</t>
  </si>
  <si>
    <t>La/Nb</t>
  </si>
  <si>
    <t>Th/Nb</t>
  </si>
  <si>
    <t>La/Nb pm</t>
  </si>
  <si>
    <t>Th/Nb pm</t>
  </si>
  <si>
    <t>ASI</t>
  </si>
  <si>
    <t>ASI*</t>
  </si>
  <si>
    <t>Total</t>
  </si>
  <si>
    <t>La/Sm n</t>
  </si>
  <si>
    <t>La/Yb n</t>
  </si>
  <si>
    <t>Gd/Yb n</t>
  </si>
  <si>
    <t>Th/U</t>
  </si>
  <si>
    <t>Ce/Pb</t>
  </si>
  <si>
    <t>Nb/U</t>
  </si>
  <si>
    <t>W2</t>
  </si>
  <si>
    <t>JB3</t>
  </si>
  <si>
    <t>BCR-2</t>
  </si>
  <si>
    <t>BCR-2G</t>
  </si>
  <si>
    <t>GSP2*</t>
  </si>
  <si>
    <t>Radiogenic isotope results</t>
  </si>
  <si>
    <t>Rb ppm</t>
  </si>
  <si>
    <t>Sr ppm</t>
  </si>
  <si>
    <t>87Rb/86Sr</t>
  </si>
  <si>
    <t>87Sr/86Sr</t>
  </si>
  <si>
    <t>Sm ppm</t>
  </si>
  <si>
    <t>Nd ppm</t>
  </si>
  <si>
    <t>147Sm/144Nd</t>
  </si>
  <si>
    <t>143Nd/144Nd</t>
  </si>
  <si>
    <t>eNd now</t>
  </si>
  <si>
    <t>Lu ppm</t>
  </si>
  <si>
    <t>Hf ppm</t>
  </si>
  <si>
    <t>176Lu/177Hf</t>
  </si>
  <si>
    <t>eHf now</t>
  </si>
  <si>
    <t>U ppm</t>
  </si>
  <si>
    <t>Th ppm</t>
  </si>
  <si>
    <t>Pb ppm</t>
  </si>
  <si>
    <t>238U/204Pb</t>
  </si>
  <si>
    <t>232Th/204Pb</t>
  </si>
  <si>
    <t>206/204m</t>
  </si>
  <si>
    <t>207/204m</t>
  </si>
  <si>
    <t>208/204m</t>
  </si>
  <si>
    <t>age, Ga</t>
  </si>
  <si>
    <t>87Sr/86Sri</t>
  </si>
  <si>
    <t>143Nd/144Ndi</t>
  </si>
  <si>
    <t>epsNdi</t>
  </si>
  <si>
    <t>176Hf/177Hfi</t>
  </si>
  <si>
    <t>epsHfi</t>
  </si>
  <si>
    <t>206/204i</t>
  </si>
  <si>
    <t>207/204i</t>
  </si>
  <si>
    <t>208/204i</t>
  </si>
  <si>
    <t>SmNd model ages</t>
  </si>
  <si>
    <t>LuHf model ages</t>
  </si>
  <si>
    <t>TDM-1</t>
  </si>
  <si>
    <t>TDM-2</t>
  </si>
  <si>
    <t>177Hf/177Hf</t>
  </si>
  <si>
    <t>ppb</t>
  </si>
  <si>
    <t>ppm</t>
  </si>
  <si>
    <t>Results for rock standards</t>
  </si>
  <si>
    <t>ASI is Aluminium Saturation Index, either with all Ca included, or corrected for Ca in apatite*</t>
  </si>
  <si>
    <t>Th</t>
  </si>
  <si>
    <t>Zr+Nb+Ce+Y</t>
  </si>
  <si>
    <t>Rb-Sr, 5 points</t>
  </si>
  <si>
    <t>87/86Sri</t>
  </si>
  <si>
    <t>Sm-Nd 4 points</t>
  </si>
  <si>
    <t>Lu-Hf 5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</si>
</sst>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"/>
    <numFmt numFmtId="165" formatCode="0.0"/>
    <numFmt numFmtId="166" formatCode="#,##0.000"/>
    <numFmt numFmtId="167" formatCode="0.000000"/>
    <numFmt numFmtId="168" formatCode="0.00000"/>
    <numFmt numFmtId="169" formatCode="0.0000"/>
    <numFmt numFmtId="170" formatCode="#,##0.0"/>
  </numFmts>
  <fonts count="17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1"/>
      <name val="Times"/>
    </font>
    <font>
      <sz val="10"/>
      <name val="Times"/>
    </font>
    <font>
      <sz val="10"/>
      <color indexed="10"/>
      <name val="Times"/>
    </font>
    <font>
      <sz val="10"/>
      <color theme="1"/>
      <name val="Times"/>
    </font>
    <font>
      <b/>
      <sz val="11"/>
      <name val="Times"/>
    </font>
    <font>
      <b/>
      <sz val="11"/>
      <color theme="1"/>
      <name val="Times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1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horizontal="center" vertical="center"/>
    </xf>
    <xf numFmtId="3" fontId="0" fillId="0" borderId="0" xfId="0" applyNumberFormat="1"/>
    <xf numFmtId="3" fontId="0" fillId="0" borderId="0" xfId="1" applyNumberFormat="1" applyFont="1"/>
    <xf numFmtId="165" fontId="7" fillId="0" borderId="0" xfId="0" applyNumberFormat="1" applyFont="1"/>
    <xf numFmtId="0" fontId="7" fillId="0" borderId="0" xfId="0" applyFont="1"/>
    <xf numFmtId="165" fontId="8" fillId="0" borderId="0" xfId="0" applyNumberFormat="1" applyFont="1"/>
    <xf numFmtId="0" fontId="8" fillId="0" borderId="0" xfId="0" applyFont="1"/>
    <xf numFmtId="2" fontId="8" fillId="0" borderId="0" xfId="0" applyNumberFormat="1" applyFont="1"/>
    <xf numFmtId="166" fontId="8" fillId="0" borderId="0" xfId="0" applyNumberFormat="1" applyFont="1"/>
    <xf numFmtId="164" fontId="8" fillId="0" borderId="0" xfId="0" applyNumberFormat="1" applyFont="1"/>
    <xf numFmtId="0" fontId="7" fillId="0" borderId="0" xfId="39" applyFont="1"/>
    <xf numFmtId="0" fontId="4" fillId="2" borderId="0" xfId="2" applyFont="1" applyFill="1" applyAlignment="1">
      <alignment horizontal="left" vertical="center"/>
    </xf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1" fillId="0" borderId="0" xfId="0" applyFont="1" applyAlignment="1">
      <alignment horizontal="left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9" fontId="11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center"/>
    </xf>
    <xf numFmtId="168" fontId="11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13" fillId="0" borderId="0" xfId="0" applyNumberFormat="1" applyFont="1"/>
    <xf numFmtId="2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/>
    <xf numFmtId="0" fontId="11" fillId="3" borderId="0" xfId="0" applyFont="1" applyFill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170" fontId="0" fillId="3" borderId="0" xfId="0" applyNumberFormat="1" applyFill="1" applyAlignment="1">
      <alignment horizontal="center"/>
    </xf>
    <xf numFmtId="3" fontId="0" fillId="3" borderId="0" xfId="1" applyNumberFormat="1" applyFont="1" applyFill="1" applyAlignment="1">
      <alignment horizontal="center"/>
    </xf>
    <xf numFmtId="170" fontId="0" fillId="3" borderId="0" xfId="1" applyNumberFormat="1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4" fontId="0" fillId="3" borderId="0" xfId="0" applyNumberFormat="1" applyFill="1" applyAlignment="1">
      <alignment horizontal="center"/>
    </xf>
  </cellXfs>
  <cellStyles count="116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Normal" xfId="0" builtinId="0"/>
    <cellStyle name="Normal 2" xfId="2" xr:uid="{00000000-0005-0000-0000-000072000000}"/>
    <cellStyle name="Normal 3" xfId="39" xr:uid="{00000000-0005-0000-0000-00007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748849697165302E-2"/>
          <c:y val="1.3576038151129399E-2"/>
          <c:w val="0.79948559246418505"/>
          <c:h val="0.91325540958062501"/>
        </c:manualLayout>
      </c:layout>
      <c:lineChart>
        <c:grouping val="standard"/>
        <c:varyColors val="0"/>
        <c:ser>
          <c:idx val="0"/>
          <c:order val="0"/>
          <c:tx>
            <c:strRef>
              <c:f>ppb!$C$62</c:f>
              <c:strCache>
                <c:ptCount val="1"/>
                <c:pt idx="0">
                  <c:v>W2-K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ppb!$A$63:$A$77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ppb!$C$63:$C$77</c:f>
              <c:numCache>
                <c:formatCode>#,##0.000</c:formatCode>
                <c:ptCount val="15"/>
                <c:pt idx="0">
                  <c:v>44.260473723225623</c:v>
                </c:pt>
                <c:pt idx="1">
                  <c:v>37.822268312522127</c:v>
                </c:pt>
                <c:pt idx="2">
                  <c:v>31.82236876201824</c:v>
                </c:pt>
                <c:pt idx="3">
                  <c:v>27.619370258895529</c:v>
                </c:pt>
                <c:pt idx="4" formatCode="0.000">
                  <c:v>24.276232106133339</c:v>
                </c:pt>
                <c:pt idx="5">
                  <c:v>21.337758238026755</c:v>
                </c:pt>
                <c:pt idx="6">
                  <c:v>18.810452107629711</c:v>
                </c:pt>
                <c:pt idx="7">
                  <c:v>18.04874725588315</c:v>
                </c:pt>
                <c:pt idx="8">
                  <c:v>16.430391608920463</c:v>
                </c:pt>
                <c:pt idx="9">
                  <c:v>15.036749301770628</c:v>
                </c:pt>
                <c:pt idx="10">
                  <c:v>14.220924986455728</c:v>
                </c:pt>
                <c:pt idx="11">
                  <c:v>13.433875540528707</c:v>
                </c:pt>
                <c:pt idx="12">
                  <c:v>12.842461102780643</c:v>
                </c:pt>
                <c:pt idx="13">
                  <c:v>12.101101007856439</c:v>
                </c:pt>
                <c:pt idx="14">
                  <c:v>11.902524884398932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B-8849-87FA-F4FD800A9FC2}"/>
            </c:ext>
          </c:extLst>
        </c:ser>
        <c:ser>
          <c:idx val="1"/>
          <c:order val="1"/>
          <c:tx>
            <c:strRef>
              <c:f>ppb!$D$62</c:f>
              <c:strCache>
                <c:ptCount val="1"/>
                <c:pt idx="0">
                  <c:v>W2a15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ppb!$A$63:$A$77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ppb!$D$63:$D$77</c:f>
              <c:numCache>
                <c:formatCode>#,##0.000</c:formatCode>
                <c:ptCount val="15"/>
                <c:pt idx="0">
                  <c:v>44.525217475136927</c:v>
                </c:pt>
                <c:pt idx="1">
                  <c:v>38.049284912428426</c:v>
                </c:pt>
                <c:pt idx="2">
                  <c:v>31.871048070061565</c:v>
                </c:pt>
                <c:pt idx="3">
                  <c:v>27.674309180523039</c:v>
                </c:pt>
                <c:pt idx="4" formatCode="0.000">
                  <c:v>24.311534016332956</c:v>
                </c:pt>
                <c:pt idx="5">
                  <c:v>21.357378150681765</c:v>
                </c:pt>
                <c:pt idx="6">
                  <c:v>18.903325700996582</c:v>
                </c:pt>
                <c:pt idx="7">
                  <c:v>18.040430696495562</c:v>
                </c:pt>
                <c:pt idx="8">
                  <c:v>16.464351253718128</c:v>
                </c:pt>
                <c:pt idx="9">
                  <c:v>14.946760721751795</c:v>
                </c:pt>
                <c:pt idx="10">
                  <c:v>14.163585048070175</c:v>
                </c:pt>
                <c:pt idx="11">
                  <c:v>13.418219066054991</c:v>
                </c:pt>
                <c:pt idx="12">
                  <c:v>12.817136466087995</c:v>
                </c:pt>
                <c:pt idx="13">
                  <c:v>12.112920380668289</c:v>
                </c:pt>
                <c:pt idx="14">
                  <c:v>11.821577960954473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B-8849-87FA-F4FD800A9FC2}"/>
            </c:ext>
          </c:extLst>
        </c:ser>
        <c:ser>
          <c:idx val="2"/>
          <c:order val="2"/>
          <c:tx>
            <c:strRef>
              <c:f>ppb!$E$62</c:f>
              <c:strCache>
                <c:ptCount val="1"/>
                <c:pt idx="0">
                  <c:v>JB3-8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ppb!$A$63:$A$77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ppb!$E$63:$E$77</c:f>
              <c:numCache>
                <c:formatCode>#,##0.000</c:formatCode>
                <c:ptCount val="15"/>
                <c:pt idx="0">
                  <c:v>35.473538826898547</c:v>
                </c:pt>
                <c:pt idx="1">
                  <c:v>34.751502347720923</c:v>
                </c:pt>
                <c:pt idx="2">
                  <c:v>34.29148534258821</c:v>
                </c:pt>
                <c:pt idx="3">
                  <c:v>33.396884905670134</c:v>
                </c:pt>
                <c:pt idx="4" formatCode="0.000">
                  <c:v>30.156996836385773</c:v>
                </c:pt>
                <c:pt idx="5">
                  <c:v>27.231415767024895</c:v>
                </c:pt>
                <c:pt idx="6">
                  <c:v>22.556643946856866</c:v>
                </c:pt>
                <c:pt idx="7">
                  <c:v>22.652026054839165</c:v>
                </c:pt>
                <c:pt idx="8">
                  <c:v>19.806899079272114</c:v>
                </c:pt>
                <c:pt idx="9">
                  <c:v>17.84990269356755</c:v>
                </c:pt>
                <c:pt idx="10">
                  <c:v>16.895286035393791</c:v>
                </c:pt>
                <c:pt idx="11">
                  <c:v>16.135595326461374</c:v>
                </c:pt>
                <c:pt idx="12">
                  <c:v>15.376218227941493</c:v>
                </c:pt>
                <c:pt idx="13">
                  <c:v>14.768233539909991</c:v>
                </c:pt>
                <c:pt idx="14">
                  <c:v>14.696710752453884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BB-8849-87FA-F4FD800A9FC2}"/>
            </c:ext>
          </c:extLst>
        </c:ser>
        <c:ser>
          <c:idx val="3"/>
          <c:order val="3"/>
          <c:tx>
            <c:strRef>
              <c:f>ppb!$F$62</c:f>
              <c:strCache>
                <c:ptCount val="1"/>
                <c:pt idx="0">
                  <c:v>JB3-9</c:v>
                </c:pt>
              </c:strCache>
            </c:strRef>
          </c:tx>
          <c:spPr>
            <a:ln w="3175" cmpd="sng">
              <a:solidFill>
                <a:srgbClr val="4F81BD"/>
              </a:solidFill>
            </a:ln>
          </c:spPr>
          <c:marker>
            <c:spPr>
              <a:ln w="3175" cmpd="sng">
                <a:solidFill>
                  <a:srgbClr val="4F81BD"/>
                </a:solidFill>
              </a:ln>
            </c:spPr>
          </c:marker>
          <c:cat>
            <c:strRef>
              <c:f>ppb!$A$63:$A$77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ppb!$F$63:$F$77</c:f>
              <c:numCache>
                <c:formatCode>#,##0.000</c:formatCode>
                <c:ptCount val="15"/>
                <c:pt idx="0">
                  <c:v>35.414242577475804</c:v>
                </c:pt>
                <c:pt idx="1">
                  <c:v>34.83464326240049</c:v>
                </c:pt>
                <c:pt idx="2">
                  <c:v>34.315449546048164</c:v>
                </c:pt>
                <c:pt idx="3">
                  <c:v>33.448323027443472</c:v>
                </c:pt>
                <c:pt idx="4" formatCode="0.000">
                  <c:v>30.18729958073023</c:v>
                </c:pt>
                <c:pt idx="5">
                  <c:v>27.24420758640364</c:v>
                </c:pt>
                <c:pt idx="6">
                  <c:v>22.634540456737106</c:v>
                </c:pt>
                <c:pt idx="7">
                  <c:v>22.530018152234749</c:v>
                </c:pt>
                <c:pt idx="8">
                  <c:v>19.747833500668893</c:v>
                </c:pt>
                <c:pt idx="9">
                  <c:v>17.790208606630323</c:v>
                </c:pt>
                <c:pt idx="10">
                  <c:v>16.845239973417563</c:v>
                </c:pt>
                <c:pt idx="11">
                  <c:v>16.08296709367135</c:v>
                </c:pt>
                <c:pt idx="12">
                  <c:v>15.343573875761482</c:v>
                </c:pt>
                <c:pt idx="13">
                  <c:v>14.65547517416487</c:v>
                </c:pt>
                <c:pt idx="14">
                  <c:v>14.601554631635985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BB-8849-87FA-F4FD800A9FC2}"/>
            </c:ext>
          </c:extLst>
        </c:ser>
        <c:ser>
          <c:idx val="4"/>
          <c:order val="4"/>
          <c:tx>
            <c:strRef>
              <c:f>ppb!$G$62</c:f>
              <c:strCache>
                <c:ptCount val="1"/>
                <c:pt idx="0">
                  <c:v>BCR2-P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ppb!$A$63:$A$77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ppb!$G$63:$G$77</c:f>
              <c:numCache>
                <c:formatCode>#,##0.000</c:formatCode>
                <c:ptCount val="15"/>
                <c:pt idx="0">
                  <c:v>105.33645678906771</c:v>
                </c:pt>
                <c:pt idx="1">
                  <c:v>86.726643978512683</c:v>
                </c:pt>
                <c:pt idx="2">
                  <c:v>72.32610266000286</c:v>
                </c:pt>
                <c:pt idx="3">
                  <c:v>61.268914186647095</c:v>
                </c:pt>
                <c:pt idx="4" formatCode="0.000">
                  <c:v>50.964863984382234</c:v>
                </c:pt>
                <c:pt idx="5">
                  <c:v>42.393722745500504</c:v>
                </c:pt>
                <c:pt idx="6">
                  <c:v>33.473595800600158</c:v>
                </c:pt>
                <c:pt idx="7">
                  <c:v>32.720682478925987</c:v>
                </c:pt>
                <c:pt idx="8">
                  <c:v>27.906502091594</c:v>
                </c:pt>
                <c:pt idx="9">
                  <c:v>24.746316922490294</c:v>
                </c:pt>
                <c:pt idx="10">
                  <c:v>23.248944104149885</c:v>
                </c:pt>
                <c:pt idx="11">
                  <c:v>21.836917376986975</c:v>
                </c:pt>
                <c:pt idx="12">
                  <c:v>20.702604016286418</c:v>
                </c:pt>
                <c:pt idx="13">
                  <c:v>19.752945453041928</c:v>
                </c:pt>
                <c:pt idx="14">
                  <c:v>19.486702625765936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BB-8849-87FA-F4FD800A9FC2}"/>
            </c:ext>
          </c:extLst>
        </c:ser>
        <c:ser>
          <c:idx val="5"/>
          <c:order val="5"/>
          <c:tx>
            <c:strRef>
              <c:f>ppb!$H$62</c:f>
              <c:strCache>
                <c:ptCount val="1"/>
                <c:pt idx="0">
                  <c:v>BCR2-glass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ppb!$A$63:$A$77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ppb!$H$63:$H$77</c:f>
              <c:numCache>
                <c:formatCode>#,##0.000</c:formatCode>
                <c:ptCount val="15"/>
                <c:pt idx="0">
                  <c:v>106.77973348076351</c:v>
                </c:pt>
                <c:pt idx="1">
                  <c:v>87.94990338654182</c:v>
                </c:pt>
                <c:pt idx="2">
                  <c:v>73.463120771765787</c:v>
                </c:pt>
                <c:pt idx="3">
                  <c:v>61.921279676703335</c:v>
                </c:pt>
                <c:pt idx="4" formatCode="0.000">
                  <c:v>51.667277357969496</c:v>
                </c:pt>
                <c:pt idx="5">
                  <c:v>43.111311063387056</c:v>
                </c:pt>
                <c:pt idx="6">
                  <c:v>33.981577650387422</c:v>
                </c:pt>
                <c:pt idx="7">
                  <c:v>33.113825908124085</c:v>
                </c:pt>
                <c:pt idx="8">
                  <c:v>28.348254764676899</c:v>
                </c:pt>
                <c:pt idx="9">
                  <c:v>25.157407586968283</c:v>
                </c:pt>
                <c:pt idx="10">
                  <c:v>23.57555436623737</c:v>
                </c:pt>
                <c:pt idx="11">
                  <c:v>22.149146470366134</c:v>
                </c:pt>
                <c:pt idx="12">
                  <c:v>21.217131644700689</c:v>
                </c:pt>
                <c:pt idx="13">
                  <c:v>20.089064561679457</c:v>
                </c:pt>
                <c:pt idx="14">
                  <c:v>19.860213763091394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BB-8849-87FA-F4FD800A9FC2}"/>
            </c:ext>
          </c:extLst>
        </c:ser>
        <c:ser>
          <c:idx val="6"/>
          <c:order val="6"/>
          <c:tx>
            <c:strRef>
              <c:f>ppb!$I$62</c:f>
              <c:strCache>
                <c:ptCount val="1"/>
                <c:pt idx="0">
                  <c:v>GSP2-D</c:v>
                </c:pt>
              </c:strCache>
            </c:strRef>
          </c:tx>
          <c:spPr>
            <a:ln w="3175" cmpd="sng"/>
          </c:spPr>
          <c:cat>
            <c:strRef>
              <c:f>ppb!$A$63:$A$77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ppb!$I$63:$I$77</c:f>
              <c:numCache>
                <c:formatCode>#,##0.000</c:formatCode>
                <c:ptCount val="15"/>
                <c:pt idx="0">
                  <c:v>782.2414099774744</c:v>
                </c:pt>
                <c:pt idx="1">
                  <c:v>724.69847637797943</c:v>
                </c:pt>
                <c:pt idx="2">
                  <c:v>593.59519773154659</c:v>
                </c:pt>
                <c:pt idx="3">
                  <c:v>440.30565760801687</c:v>
                </c:pt>
                <c:pt idx="4" formatCode="0.000">
                  <c:v>272.80228641772823</c:v>
                </c:pt>
                <c:pt idx="5">
                  <c:v>169.02141998137483</c:v>
                </c:pt>
                <c:pt idx="6">
                  <c:v>38.306760787789045</c:v>
                </c:pt>
                <c:pt idx="7">
                  <c:v>57.942827808593371</c:v>
                </c:pt>
                <c:pt idx="8">
                  <c:v>33.523598919182788</c:v>
                </c:pt>
                <c:pt idx="9">
                  <c:v>22.242904889573406</c:v>
                </c:pt>
                <c:pt idx="10">
                  <c:v>17.081343622226779</c:v>
                </c:pt>
                <c:pt idx="11">
                  <c:v>13.882792731114067</c:v>
                </c:pt>
                <c:pt idx="12">
                  <c:v>11.492704452119009</c:v>
                </c:pt>
                <c:pt idx="13">
                  <c:v>9.7314548437935073</c:v>
                </c:pt>
                <c:pt idx="14">
                  <c:v>9.0931564242004281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BB-8849-87FA-F4FD800A9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6974120"/>
        <c:axId val="-2063142216"/>
      </c:lineChart>
      <c:catAx>
        <c:axId val="-2126974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063142216"/>
        <c:crosses val="autoZero"/>
        <c:auto val="1"/>
        <c:lblAlgn val="ctr"/>
        <c:lblOffset val="100"/>
        <c:noMultiLvlLbl val="0"/>
      </c:catAx>
      <c:valAx>
        <c:axId val="-2063142216"/>
        <c:scaling>
          <c:logBase val="10"/>
          <c:orientation val="minMax"/>
        </c:scaling>
        <c:delete val="0"/>
        <c:axPos val="l"/>
        <c:majorGridlines/>
        <c:numFmt formatCode="#,##0.000" sourceLinked="1"/>
        <c:majorTickMark val="out"/>
        <c:minorTickMark val="in"/>
        <c:tickLblPos val="nextTo"/>
        <c:crossAx val="-2126974120"/>
        <c:crosses val="autoZero"/>
        <c:crossBetween val="between"/>
      </c:valAx>
      <c:spPr>
        <a:ln w="6350" cmpd="sng"/>
      </c:spPr>
    </c:plotArea>
    <c:legend>
      <c:legendPos val="r"/>
      <c:overlay val="0"/>
    </c:legend>
    <c:plotVisOnly val="1"/>
    <c:dispBlanksAs val="gap"/>
    <c:showDLblsOverMax val="0"/>
  </c:chart>
  <c:spPr>
    <a:ln w="3175" cmpd="sng"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748849697165302E-2"/>
          <c:y val="1.3576038151129399E-2"/>
          <c:w val="0.79948559246418505"/>
          <c:h val="0.91325540958062501"/>
        </c:manualLayout>
      </c:layout>
      <c:lineChart>
        <c:grouping val="standard"/>
        <c:varyColors val="0"/>
        <c:ser>
          <c:idx val="0"/>
          <c:order val="0"/>
          <c:tx>
            <c:strRef>
              <c:f>ppb!$J$62</c:f>
              <c:strCache>
                <c:ptCount val="1"/>
                <c:pt idx="0">
                  <c:v>DR21-1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ppb!$A$63:$A$77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ppb!$J$63:$J$77</c:f>
              <c:numCache>
                <c:formatCode>#,##0.000</c:formatCode>
                <c:ptCount val="15"/>
                <c:pt idx="0">
                  <c:v>533.95119822755771</c:v>
                </c:pt>
                <c:pt idx="1">
                  <c:v>360.97435654569085</c:v>
                </c:pt>
                <c:pt idx="2">
                  <c:v>301.31986580925769</c:v>
                </c:pt>
                <c:pt idx="3">
                  <c:v>226.27567696446215</c:v>
                </c:pt>
                <c:pt idx="4" formatCode="0.000">
                  <c:v>176.72224299705871</c:v>
                </c:pt>
                <c:pt idx="5">
                  <c:v>138.02080536838423</c:v>
                </c:pt>
                <c:pt idx="6">
                  <c:v>41.095960966286135</c:v>
                </c:pt>
                <c:pt idx="7">
                  <c:v>95.980189810311686</c:v>
                </c:pt>
                <c:pt idx="8">
                  <c:v>81.951479713837585</c:v>
                </c:pt>
                <c:pt idx="9">
                  <c:v>70.721237723807903</c:v>
                </c:pt>
                <c:pt idx="10">
                  <c:v>64.503119588301729</c:v>
                </c:pt>
                <c:pt idx="11">
                  <c:v>59.402671685551049</c:v>
                </c:pt>
                <c:pt idx="12">
                  <c:v>56.61733096255994</c:v>
                </c:pt>
                <c:pt idx="13">
                  <c:v>52.943319106693764</c:v>
                </c:pt>
                <c:pt idx="14">
                  <c:v>50.465563513470521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E-6B44-BFA1-C1F08C1504FF}"/>
            </c:ext>
          </c:extLst>
        </c:ser>
        <c:ser>
          <c:idx val="1"/>
          <c:order val="1"/>
          <c:tx>
            <c:strRef>
              <c:f>ppb!$K$62</c:f>
              <c:strCache>
                <c:ptCount val="1"/>
                <c:pt idx="0">
                  <c:v>DR21-2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ppb!$A$63:$A$77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ppb!$K$63:$K$77</c:f>
              <c:numCache>
                <c:formatCode>#,##0.000</c:formatCode>
                <c:ptCount val="15"/>
                <c:pt idx="0">
                  <c:v>260.20862035450159</c:v>
                </c:pt>
                <c:pt idx="1">
                  <c:v>242.69001122540814</c:v>
                </c:pt>
                <c:pt idx="2">
                  <c:v>178.72463327301816</c:v>
                </c:pt>
                <c:pt idx="3">
                  <c:v>141.03856594026666</c:v>
                </c:pt>
                <c:pt idx="4" formatCode="0.000">
                  <c:v>110.25042828052906</c:v>
                </c:pt>
                <c:pt idx="5">
                  <c:v>86.183214179787356</c:v>
                </c:pt>
                <c:pt idx="6">
                  <c:v>40.186438536351204</c:v>
                </c:pt>
                <c:pt idx="7">
                  <c:v>55.429365070167719</c:v>
                </c:pt>
                <c:pt idx="8">
                  <c:v>44.01539922402268</c:v>
                </c:pt>
                <c:pt idx="9">
                  <c:v>34.914133120467156</c:v>
                </c:pt>
                <c:pt idx="10">
                  <c:v>29.720448972022126</c:v>
                </c:pt>
                <c:pt idx="11">
                  <c:v>25.482817035514842</c:v>
                </c:pt>
                <c:pt idx="12">
                  <c:v>22.271208024774591</c:v>
                </c:pt>
                <c:pt idx="13">
                  <c:v>19.248814385099177</c:v>
                </c:pt>
                <c:pt idx="14">
                  <c:v>17.526519646281351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E-6B44-BFA1-C1F08C1504FF}"/>
            </c:ext>
          </c:extLst>
        </c:ser>
        <c:ser>
          <c:idx val="2"/>
          <c:order val="2"/>
          <c:tx>
            <c:strRef>
              <c:f>ppb!$L$62</c:f>
              <c:strCache>
                <c:ptCount val="1"/>
                <c:pt idx="0">
                  <c:v>DR21-4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ppb!$A$63:$A$77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ppb!$L$63:$L$77</c:f>
              <c:numCache>
                <c:formatCode>#,##0.000</c:formatCode>
                <c:ptCount val="15"/>
                <c:pt idx="0">
                  <c:v>593.65597451737835</c:v>
                </c:pt>
                <c:pt idx="1">
                  <c:v>492.12262645358197</c:v>
                </c:pt>
                <c:pt idx="2">
                  <c:v>348.73765871706519</c:v>
                </c:pt>
                <c:pt idx="3">
                  <c:v>247.8111849084423</c:v>
                </c:pt>
                <c:pt idx="4" formatCode="0.000">
                  <c:v>180.45351706855118</c:v>
                </c:pt>
                <c:pt idx="5">
                  <c:v>131.40436673365241</c:v>
                </c:pt>
                <c:pt idx="6">
                  <c:v>42.966876720547049</c:v>
                </c:pt>
                <c:pt idx="7">
                  <c:v>73.074935240344644</c:v>
                </c:pt>
                <c:pt idx="8">
                  <c:v>59.078409394989386</c:v>
                </c:pt>
                <c:pt idx="9">
                  <c:v>48.735704971116434</c:v>
                </c:pt>
                <c:pt idx="10">
                  <c:v>42.675744628618276</c:v>
                </c:pt>
                <c:pt idx="11">
                  <c:v>38.311573417373936</c:v>
                </c:pt>
                <c:pt idx="12">
                  <c:v>34.87093137185267</c:v>
                </c:pt>
                <c:pt idx="13">
                  <c:v>30.68994190250984</c:v>
                </c:pt>
                <c:pt idx="14">
                  <c:v>27.763165978905231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7E-6B44-BFA1-C1F08C1504FF}"/>
            </c:ext>
          </c:extLst>
        </c:ser>
        <c:ser>
          <c:idx val="3"/>
          <c:order val="3"/>
          <c:tx>
            <c:strRef>
              <c:f>ppb!$M$62</c:f>
              <c:strCache>
                <c:ptCount val="1"/>
                <c:pt idx="0">
                  <c:v>DR21-8</c:v>
                </c:pt>
              </c:strCache>
            </c:strRef>
          </c:tx>
          <c:spPr>
            <a:ln w="3175" cmpd="sng">
              <a:solidFill>
                <a:srgbClr val="4F81BD"/>
              </a:solidFill>
            </a:ln>
          </c:spPr>
          <c:marker>
            <c:spPr>
              <a:ln w="3175" cmpd="sng">
                <a:solidFill>
                  <a:srgbClr val="4F81BD"/>
                </a:solidFill>
              </a:ln>
            </c:spPr>
          </c:marker>
          <c:cat>
            <c:strRef>
              <c:f>ppb!$A$63:$A$77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ppb!$M$63:$M$77</c:f>
              <c:numCache>
                <c:formatCode>#,##0.000</c:formatCode>
                <c:ptCount val="15"/>
                <c:pt idx="0">
                  <c:v>770.65933150071896</c:v>
                </c:pt>
                <c:pt idx="1">
                  <c:v>649.3595532552589</c:v>
                </c:pt>
                <c:pt idx="2">
                  <c:v>452.99876539804552</c:v>
                </c:pt>
                <c:pt idx="3">
                  <c:v>325.42245490355054</c:v>
                </c:pt>
                <c:pt idx="4" formatCode="0.000">
                  <c:v>232.37079080903504</c:v>
                </c:pt>
                <c:pt idx="5">
                  <c:v>165.92642458314637</c:v>
                </c:pt>
                <c:pt idx="6">
                  <c:v>50.159498471329385</c:v>
                </c:pt>
                <c:pt idx="7">
                  <c:v>89.923803312209216</c:v>
                </c:pt>
                <c:pt idx="8">
                  <c:v>68.22673480190268</c:v>
                </c:pt>
                <c:pt idx="9">
                  <c:v>53.154374979980332</c:v>
                </c:pt>
                <c:pt idx="10">
                  <c:v>44.199714047076618</c:v>
                </c:pt>
                <c:pt idx="11">
                  <c:v>36.448914916271448</c:v>
                </c:pt>
                <c:pt idx="12">
                  <c:v>29.215598051815505</c:v>
                </c:pt>
                <c:pt idx="13">
                  <c:v>23.10510731183598</c:v>
                </c:pt>
                <c:pt idx="14">
                  <c:v>19.516169288882004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7E-6B44-BFA1-C1F08C1504FF}"/>
            </c:ext>
          </c:extLst>
        </c:ser>
        <c:ser>
          <c:idx val="4"/>
          <c:order val="4"/>
          <c:tx>
            <c:strRef>
              <c:f>ppb!$N$62</c:f>
              <c:strCache>
                <c:ptCount val="1"/>
                <c:pt idx="0">
                  <c:v>DR21-11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ppb!$A$63:$A$77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ppb!$N$63:$N$77</c:f>
              <c:numCache>
                <c:formatCode>#,##0.000</c:formatCode>
                <c:ptCount val="15"/>
                <c:pt idx="0">
                  <c:v>758.66384406458008</c:v>
                </c:pt>
                <c:pt idx="1">
                  <c:v>618.3520683446626</c:v>
                </c:pt>
                <c:pt idx="2">
                  <c:v>427.95193941044619</c:v>
                </c:pt>
                <c:pt idx="3">
                  <c:v>301.36419346678514</c:v>
                </c:pt>
                <c:pt idx="4" formatCode="0.000">
                  <c:v>211.1822297159662</c:v>
                </c:pt>
                <c:pt idx="5">
                  <c:v>147.98683823306445</c:v>
                </c:pt>
                <c:pt idx="6">
                  <c:v>49.695704579881173</c:v>
                </c:pt>
                <c:pt idx="7">
                  <c:v>77.815247425899301</c:v>
                </c:pt>
                <c:pt idx="8">
                  <c:v>57.474856616371</c:v>
                </c:pt>
                <c:pt idx="9">
                  <c:v>44.049386943471596</c:v>
                </c:pt>
                <c:pt idx="10">
                  <c:v>36.383163251728924</c:v>
                </c:pt>
                <c:pt idx="11">
                  <c:v>30.555600092055542</c:v>
                </c:pt>
                <c:pt idx="12">
                  <c:v>26.146369237406898</c:v>
                </c:pt>
                <c:pt idx="13">
                  <c:v>21.79064789690532</c:v>
                </c:pt>
                <c:pt idx="14">
                  <c:v>19.891882343286504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7E-6B44-BFA1-C1F08C150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63592552"/>
        <c:axId val="-2063560616"/>
      </c:lineChart>
      <c:catAx>
        <c:axId val="-2063592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063560616"/>
        <c:crosses val="autoZero"/>
        <c:auto val="1"/>
        <c:lblAlgn val="ctr"/>
        <c:lblOffset val="100"/>
        <c:noMultiLvlLbl val="0"/>
      </c:catAx>
      <c:valAx>
        <c:axId val="-2063560616"/>
        <c:scaling>
          <c:logBase val="10"/>
          <c:orientation val="minMax"/>
        </c:scaling>
        <c:delete val="0"/>
        <c:axPos val="l"/>
        <c:majorGridlines/>
        <c:numFmt formatCode="#,##0.000" sourceLinked="1"/>
        <c:majorTickMark val="out"/>
        <c:minorTickMark val="in"/>
        <c:tickLblPos val="nextTo"/>
        <c:crossAx val="-2063592552"/>
        <c:crosses val="autoZero"/>
        <c:crossBetween val="between"/>
      </c:valAx>
      <c:spPr>
        <a:ln w="6350" cmpd="sng"/>
      </c:spPr>
    </c:plotArea>
    <c:legend>
      <c:legendPos val="r"/>
      <c:overlay val="0"/>
    </c:legend>
    <c:plotVisOnly val="1"/>
    <c:dispBlanksAs val="gap"/>
    <c:showDLblsOverMax val="0"/>
  </c:chart>
  <c:spPr>
    <a:ln w="3175" cmpd="sng"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748849697165302E-2"/>
          <c:y val="1.3576038151129399E-2"/>
          <c:w val="0.79948559246418505"/>
          <c:h val="0.91325540958062501"/>
        </c:manualLayout>
      </c:layout>
      <c:lineChart>
        <c:grouping val="standard"/>
        <c:varyColors val="0"/>
        <c:ser>
          <c:idx val="0"/>
          <c:order val="0"/>
          <c:tx>
            <c:strRef>
              <c:f>ppb!$J$62</c:f>
              <c:strCache>
                <c:ptCount val="1"/>
                <c:pt idx="0">
                  <c:v>DR21-1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ppb!$A$63:$A$77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ppb!$J$63:$J$77</c:f>
              <c:numCache>
                <c:formatCode>#,##0.000</c:formatCode>
                <c:ptCount val="15"/>
                <c:pt idx="0">
                  <c:v>533.95119822755771</c:v>
                </c:pt>
                <c:pt idx="1">
                  <c:v>360.97435654569085</c:v>
                </c:pt>
                <c:pt idx="2">
                  <c:v>301.31986580925769</c:v>
                </c:pt>
                <c:pt idx="3">
                  <c:v>226.27567696446215</c:v>
                </c:pt>
                <c:pt idx="4" formatCode="0.000">
                  <c:v>176.72224299705871</c:v>
                </c:pt>
                <c:pt idx="5">
                  <c:v>138.02080536838423</c:v>
                </c:pt>
                <c:pt idx="6">
                  <c:v>41.095960966286135</c:v>
                </c:pt>
                <c:pt idx="7">
                  <c:v>95.980189810311686</c:v>
                </c:pt>
                <c:pt idx="8">
                  <c:v>81.951479713837585</c:v>
                </c:pt>
                <c:pt idx="9">
                  <c:v>70.721237723807903</c:v>
                </c:pt>
                <c:pt idx="10">
                  <c:v>64.503119588301729</c:v>
                </c:pt>
                <c:pt idx="11">
                  <c:v>59.402671685551049</c:v>
                </c:pt>
                <c:pt idx="12">
                  <c:v>56.61733096255994</c:v>
                </c:pt>
                <c:pt idx="13">
                  <c:v>52.943319106693764</c:v>
                </c:pt>
                <c:pt idx="14">
                  <c:v>50.465563513470521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D-0B4C-A0CD-0481D97EA18D}"/>
            </c:ext>
          </c:extLst>
        </c:ser>
        <c:ser>
          <c:idx val="1"/>
          <c:order val="1"/>
          <c:tx>
            <c:strRef>
              <c:f>ppb!$K$62</c:f>
              <c:strCache>
                <c:ptCount val="1"/>
                <c:pt idx="0">
                  <c:v>DR21-2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ppb!$A$63:$A$77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ppb!$K$63:$K$77</c:f>
              <c:numCache>
                <c:formatCode>#,##0.000</c:formatCode>
                <c:ptCount val="15"/>
                <c:pt idx="0">
                  <c:v>260.20862035450159</c:v>
                </c:pt>
                <c:pt idx="1">
                  <c:v>242.69001122540814</c:v>
                </c:pt>
                <c:pt idx="2">
                  <c:v>178.72463327301816</c:v>
                </c:pt>
                <c:pt idx="3">
                  <c:v>141.03856594026666</c:v>
                </c:pt>
                <c:pt idx="4" formatCode="0.000">
                  <c:v>110.25042828052906</c:v>
                </c:pt>
                <c:pt idx="5">
                  <c:v>86.183214179787356</c:v>
                </c:pt>
                <c:pt idx="6">
                  <c:v>40.186438536351204</c:v>
                </c:pt>
                <c:pt idx="7">
                  <c:v>55.429365070167719</c:v>
                </c:pt>
                <c:pt idx="8">
                  <c:v>44.01539922402268</c:v>
                </c:pt>
                <c:pt idx="9">
                  <c:v>34.914133120467156</c:v>
                </c:pt>
                <c:pt idx="10">
                  <c:v>29.720448972022126</c:v>
                </c:pt>
                <c:pt idx="11">
                  <c:v>25.482817035514842</c:v>
                </c:pt>
                <c:pt idx="12">
                  <c:v>22.271208024774591</c:v>
                </c:pt>
                <c:pt idx="13">
                  <c:v>19.248814385099177</c:v>
                </c:pt>
                <c:pt idx="14">
                  <c:v>17.526519646281351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D-0B4C-A0CD-0481D97EA18D}"/>
            </c:ext>
          </c:extLst>
        </c:ser>
        <c:ser>
          <c:idx val="2"/>
          <c:order val="2"/>
          <c:tx>
            <c:strRef>
              <c:f>ppb!$L$62</c:f>
              <c:strCache>
                <c:ptCount val="1"/>
                <c:pt idx="0">
                  <c:v>DR21-4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ppb!$A$63:$A$77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ppb!$L$63:$L$77</c:f>
              <c:numCache>
                <c:formatCode>#,##0.000</c:formatCode>
                <c:ptCount val="15"/>
                <c:pt idx="0">
                  <c:v>593.65597451737835</c:v>
                </c:pt>
                <c:pt idx="1">
                  <c:v>492.12262645358197</c:v>
                </c:pt>
                <c:pt idx="2">
                  <c:v>348.73765871706519</c:v>
                </c:pt>
                <c:pt idx="3">
                  <c:v>247.8111849084423</c:v>
                </c:pt>
                <c:pt idx="4" formatCode="0.000">
                  <c:v>180.45351706855118</c:v>
                </c:pt>
                <c:pt idx="5">
                  <c:v>131.40436673365241</c:v>
                </c:pt>
                <c:pt idx="6">
                  <c:v>42.966876720547049</c:v>
                </c:pt>
                <c:pt idx="7">
                  <c:v>73.074935240344644</c:v>
                </c:pt>
                <c:pt idx="8">
                  <c:v>59.078409394989386</c:v>
                </c:pt>
                <c:pt idx="9">
                  <c:v>48.735704971116434</c:v>
                </c:pt>
                <c:pt idx="10">
                  <c:v>42.675744628618276</c:v>
                </c:pt>
                <c:pt idx="11">
                  <c:v>38.311573417373936</c:v>
                </c:pt>
                <c:pt idx="12">
                  <c:v>34.87093137185267</c:v>
                </c:pt>
                <c:pt idx="13">
                  <c:v>30.68994190250984</c:v>
                </c:pt>
                <c:pt idx="14">
                  <c:v>27.763165978905231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9D-0B4C-A0CD-0481D97EA18D}"/>
            </c:ext>
          </c:extLst>
        </c:ser>
        <c:ser>
          <c:idx val="3"/>
          <c:order val="3"/>
          <c:tx>
            <c:strRef>
              <c:f>ppb!$M$62</c:f>
              <c:strCache>
                <c:ptCount val="1"/>
                <c:pt idx="0">
                  <c:v>DR21-8</c:v>
                </c:pt>
              </c:strCache>
            </c:strRef>
          </c:tx>
          <c:spPr>
            <a:ln w="3175" cmpd="sng">
              <a:solidFill>
                <a:srgbClr val="4F81BD"/>
              </a:solidFill>
            </a:ln>
          </c:spPr>
          <c:marker>
            <c:spPr>
              <a:ln w="3175" cmpd="sng">
                <a:solidFill>
                  <a:srgbClr val="4F81BD"/>
                </a:solidFill>
              </a:ln>
            </c:spPr>
          </c:marker>
          <c:cat>
            <c:strRef>
              <c:f>ppb!$A$63:$A$77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ppb!$M$63:$M$77</c:f>
              <c:numCache>
                <c:formatCode>#,##0.000</c:formatCode>
                <c:ptCount val="15"/>
                <c:pt idx="0">
                  <c:v>770.65933150071896</c:v>
                </c:pt>
                <c:pt idx="1">
                  <c:v>649.3595532552589</c:v>
                </c:pt>
                <c:pt idx="2">
                  <c:v>452.99876539804552</c:v>
                </c:pt>
                <c:pt idx="3">
                  <c:v>325.42245490355054</c:v>
                </c:pt>
                <c:pt idx="4" formatCode="0.000">
                  <c:v>232.37079080903504</c:v>
                </c:pt>
                <c:pt idx="5">
                  <c:v>165.92642458314637</c:v>
                </c:pt>
                <c:pt idx="6">
                  <c:v>50.159498471329385</c:v>
                </c:pt>
                <c:pt idx="7">
                  <c:v>89.923803312209216</c:v>
                </c:pt>
                <c:pt idx="8">
                  <c:v>68.22673480190268</c:v>
                </c:pt>
                <c:pt idx="9">
                  <c:v>53.154374979980332</c:v>
                </c:pt>
                <c:pt idx="10">
                  <c:v>44.199714047076618</c:v>
                </c:pt>
                <c:pt idx="11">
                  <c:v>36.448914916271448</c:v>
                </c:pt>
                <c:pt idx="12">
                  <c:v>29.215598051815505</c:v>
                </c:pt>
                <c:pt idx="13">
                  <c:v>23.10510731183598</c:v>
                </c:pt>
                <c:pt idx="14">
                  <c:v>19.516169288882004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9D-0B4C-A0CD-0481D97EA18D}"/>
            </c:ext>
          </c:extLst>
        </c:ser>
        <c:ser>
          <c:idx val="4"/>
          <c:order val="4"/>
          <c:tx>
            <c:strRef>
              <c:f>ppb!$N$62</c:f>
              <c:strCache>
                <c:ptCount val="1"/>
                <c:pt idx="0">
                  <c:v>DR21-11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ppb!$A$63:$A$77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ppb!$N$63:$N$77</c:f>
              <c:numCache>
                <c:formatCode>#,##0.000</c:formatCode>
                <c:ptCount val="15"/>
                <c:pt idx="0">
                  <c:v>758.66384406458008</c:v>
                </c:pt>
                <c:pt idx="1">
                  <c:v>618.3520683446626</c:v>
                </c:pt>
                <c:pt idx="2">
                  <c:v>427.95193941044619</c:v>
                </c:pt>
                <c:pt idx="3">
                  <c:v>301.36419346678514</c:v>
                </c:pt>
                <c:pt idx="4" formatCode="0.000">
                  <c:v>211.1822297159662</c:v>
                </c:pt>
                <c:pt idx="5">
                  <c:v>147.98683823306445</c:v>
                </c:pt>
                <c:pt idx="6">
                  <c:v>49.695704579881173</c:v>
                </c:pt>
                <c:pt idx="7">
                  <c:v>77.815247425899301</c:v>
                </c:pt>
                <c:pt idx="8">
                  <c:v>57.474856616371</c:v>
                </c:pt>
                <c:pt idx="9">
                  <c:v>44.049386943471596</c:v>
                </c:pt>
                <c:pt idx="10">
                  <c:v>36.383163251728924</c:v>
                </c:pt>
                <c:pt idx="11">
                  <c:v>30.555600092055542</c:v>
                </c:pt>
                <c:pt idx="12">
                  <c:v>26.146369237406898</c:v>
                </c:pt>
                <c:pt idx="13">
                  <c:v>21.79064789690532</c:v>
                </c:pt>
                <c:pt idx="14">
                  <c:v>19.891882343286504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9D-0B4C-A0CD-0481D97EA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5980904"/>
        <c:axId val="2095985624"/>
      </c:lineChart>
      <c:catAx>
        <c:axId val="2095980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95985624"/>
        <c:crosses val="autoZero"/>
        <c:auto val="1"/>
        <c:lblAlgn val="ctr"/>
        <c:lblOffset val="100"/>
        <c:noMultiLvlLbl val="0"/>
      </c:catAx>
      <c:valAx>
        <c:axId val="2095985624"/>
        <c:scaling>
          <c:logBase val="10"/>
          <c:orientation val="minMax"/>
        </c:scaling>
        <c:delete val="0"/>
        <c:axPos val="l"/>
        <c:majorGridlines/>
        <c:numFmt formatCode="#,##0.000" sourceLinked="1"/>
        <c:majorTickMark val="out"/>
        <c:minorTickMark val="in"/>
        <c:tickLblPos val="nextTo"/>
        <c:crossAx val="2095980904"/>
        <c:crosses val="autoZero"/>
        <c:crossBetween val="between"/>
      </c:valAx>
      <c:spPr>
        <a:ln w="6350" cmpd="sng"/>
      </c:spPr>
    </c:plotArea>
    <c:legend>
      <c:legendPos val="r"/>
      <c:overlay val="0"/>
    </c:legend>
    <c:plotVisOnly val="1"/>
    <c:dispBlanksAs val="gap"/>
    <c:showDLblsOverMax val="0"/>
  </c:chart>
  <c:spPr>
    <a:ln w="3175" cmpd="sng"/>
  </c:sp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Rb-Sr isochron diagram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41324803149606"/>
                  <c:y val="-8.6111111111111097E-2"/>
                </c:manualLayout>
              </c:layout>
              <c:numFmt formatCode="General" sourceLinked="0"/>
            </c:trendlineLbl>
          </c:trendline>
          <c:xVal>
            <c:numRef>
              <c:f>'summary table'!$C$91:$G$91</c:f>
              <c:numCache>
                <c:formatCode>General</c:formatCode>
                <c:ptCount val="5"/>
                <c:pt idx="0">
                  <c:v>3.6019999999999999</c:v>
                </c:pt>
                <c:pt idx="1">
                  <c:v>2.2010000000000001</c:v>
                </c:pt>
                <c:pt idx="2">
                  <c:v>3.6549999999999998</c:v>
                </c:pt>
                <c:pt idx="3">
                  <c:v>2.109</c:v>
                </c:pt>
                <c:pt idx="4">
                  <c:v>2.4980000000000002</c:v>
                </c:pt>
              </c:numCache>
            </c:numRef>
          </c:xVal>
          <c:yVal>
            <c:numRef>
              <c:f>'summary table'!$C$92:$G$92</c:f>
              <c:numCache>
                <c:formatCode>General</c:formatCode>
                <c:ptCount val="5"/>
                <c:pt idx="0">
                  <c:v>0.78496900000000003</c:v>
                </c:pt>
                <c:pt idx="1">
                  <c:v>0.75437700000000008</c:v>
                </c:pt>
                <c:pt idx="2">
                  <c:v>0.77695000000000003</c:v>
                </c:pt>
                <c:pt idx="3">
                  <c:v>0.75217699999999998</c:v>
                </c:pt>
                <c:pt idx="4">
                  <c:v>0.75480100000000006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08-A64F-9E54-24E1D45A4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1271400"/>
        <c:axId val="-2028074920"/>
      </c:scatterChart>
      <c:valAx>
        <c:axId val="-2091271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87Rb/86Sr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2028074920"/>
        <c:crosses val="autoZero"/>
        <c:crossBetween val="midCat"/>
      </c:valAx>
      <c:valAx>
        <c:axId val="-2028074920"/>
        <c:scaling>
          <c:orientation val="minMax"/>
          <c:min val="0.7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87Sr/86Sr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20912714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Sm-Nd isochron diagram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xVal>
            <c:numRef>
              <c:f>'summary table'!$C$95:$G$95</c:f>
              <c:numCache>
                <c:formatCode>0.000</c:formatCode>
                <c:ptCount val="5"/>
                <c:pt idx="0">
                  <c:v>0.12088288576861748</c:v>
                </c:pt>
                <c:pt idx="1">
                  <c:v>0.12109966402129303</c:v>
                </c:pt>
                <c:pt idx="2">
                  <c:v>0.10508652429134145</c:v>
                </c:pt>
                <c:pt idx="3">
                  <c:v>0.10104763952018261</c:v>
                </c:pt>
                <c:pt idx="4">
                  <c:v>9.7317193472327507E-2</c:v>
                </c:pt>
              </c:numCache>
            </c:numRef>
          </c:xVal>
          <c:yVal>
            <c:numRef>
              <c:f>'summary table'!$C$96:$G$96</c:f>
              <c:numCache>
                <c:formatCode>General</c:formatCode>
                <c:ptCount val="5"/>
                <c:pt idx="0">
                  <c:v>0.51181500000000002</c:v>
                </c:pt>
                <c:pt idx="1">
                  <c:v>0.51166800000000001</c:v>
                </c:pt>
                <c:pt idx="2">
                  <c:v>0.51166200000000006</c:v>
                </c:pt>
                <c:pt idx="3">
                  <c:v>0.51161100000000004</c:v>
                </c:pt>
                <c:pt idx="4">
                  <c:v>0.51157200000000003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F7-F748-A266-E6A8C46F6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283352"/>
        <c:axId val="-2021981528"/>
      </c:scatterChart>
      <c:valAx>
        <c:axId val="2122283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147Sm/144Nd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2021981528"/>
        <c:crosses val="autoZero"/>
        <c:crossBetween val="midCat"/>
      </c:valAx>
      <c:valAx>
        <c:axId val="-2021981528"/>
        <c:scaling>
          <c:orientation val="minMax"/>
          <c:min val="0.51119999999999999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143Nd/144Nd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1222833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Lu-Hf isochron diagram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xVal>
            <c:numRef>
              <c:f>'summary table'!$C$100:$G$100</c:f>
              <c:numCache>
                <c:formatCode>0.0000</c:formatCode>
                <c:ptCount val="5"/>
                <c:pt idx="0">
                  <c:v>1.9746972730564374E-2</c:v>
                </c:pt>
                <c:pt idx="1">
                  <c:v>7.8933000527895564E-3</c:v>
                </c:pt>
                <c:pt idx="2">
                  <c:v>7.1257234638450236E-3</c:v>
                </c:pt>
                <c:pt idx="3">
                  <c:v>8.9705729651322601E-3</c:v>
                </c:pt>
                <c:pt idx="4">
                  <c:v>7.4843306446200908E-3</c:v>
                </c:pt>
              </c:numCache>
            </c:numRef>
          </c:xVal>
          <c:yVal>
            <c:numRef>
              <c:f>'summary table'!$C$101:$G$101</c:f>
              <c:numCache>
                <c:formatCode>0.000000</c:formatCode>
                <c:ptCount val="5"/>
                <c:pt idx="0">
                  <c:v>0.28231959999999995</c:v>
                </c:pt>
                <c:pt idx="1">
                  <c:v>0.28205950000000002</c:v>
                </c:pt>
                <c:pt idx="2">
                  <c:v>0.28209869999999998</c:v>
                </c:pt>
                <c:pt idx="3">
                  <c:v>0.28205990000000003</c:v>
                </c:pt>
                <c:pt idx="4">
                  <c:v>0.28201479999999995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F5-E242-ACBB-86C9E61D1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26766536"/>
        <c:axId val="-2023868600"/>
      </c:scatterChart>
      <c:valAx>
        <c:axId val="-2026766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176Lu/177Hf</a:t>
                </a:r>
              </a:p>
            </c:rich>
          </c:tx>
          <c:overlay val="0"/>
        </c:title>
        <c:numFmt formatCode="0.0000" sourceLinked="1"/>
        <c:majorTickMark val="none"/>
        <c:minorTickMark val="none"/>
        <c:tickLblPos val="nextTo"/>
        <c:crossAx val="-2023868600"/>
        <c:crosses val="autoZero"/>
        <c:crossBetween val="midCat"/>
      </c:valAx>
      <c:valAx>
        <c:axId val="-2023868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176Hf/177Hf</a:t>
                </a:r>
              </a:p>
            </c:rich>
          </c:tx>
          <c:overlay val="0"/>
        </c:title>
        <c:numFmt formatCode="0.00000" sourceLinked="0"/>
        <c:majorTickMark val="none"/>
        <c:minorTickMark val="none"/>
        <c:tickLblPos val="nextTo"/>
        <c:crossAx val="-20267665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eNd vs 87Sr/86Sr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187729658792599"/>
          <c:y val="0.14629629629629601"/>
          <c:w val="0.59531408573928302"/>
          <c:h val="0.65925925925925899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xVal>
            <c:numRef>
              <c:f>'summary table'!$C$112:$G$112</c:f>
              <c:numCache>
                <c:formatCode>0.00000</c:formatCode>
                <c:ptCount val="5"/>
                <c:pt idx="0">
                  <c:v>0.75899815267370041</c:v>
                </c:pt>
                <c:pt idx="1">
                  <c:v>0.73850752888251381</c:v>
                </c:pt>
                <c:pt idx="2">
                  <c:v>0.75059701638600085</c:v>
                </c:pt>
                <c:pt idx="3">
                  <c:v>0.73697085979701116</c:v>
                </c:pt>
                <c:pt idx="4">
                  <c:v>0.73679012364766905</c:v>
                </c:pt>
              </c:numCache>
            </c:numRef>
          </c:xVal>
          <c:yVal>
            <c:numRef>
              <c:f>'summary table'!$C$114:$G$114</c:f>
              <c:numCache>
                <c:formatCode>0.0</c:formatCode>
                <c:ptCount val="5"/>
                <c:pt idx="0">
                  <c:v>-11.007884972058513</c:v>
                </c:pt>
                <c:pt idx="1">
                  <c:v>-13.893428039538636</c:v>
                </c:pt>
                <c:pt idx="2">
                  <c:v>-12.955390343364348</c:v>
                </c:pt>
                <c:pt idx="3">
                  <c:v>-13.685387095739854</c:v>
                </c:pt>
                <c:pt idx="4">
                  <c:v>-14.2013209096159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00-F14D-99DE-3D5E73F86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29674456"/>
        <c:axId val="2121302024"/>
      </c:scatterChart>
      <c:valAx>
        <c:axId val="-2029674456"/>
        <c:scaling>
          <c:orientation val="minMax"/>
          <c:min val="0.7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87Sr/86Sr515</a:t>
                </a:r>
              </a:p>
            </c:rich>
          </c:tx>
          <c:layout>
            <c:manualLayout>
              <c:xMode val="edge"/>
              <c:yMode val="edge"/>
              <c:x val="0.39687839020122501"/>
              <c:y val="0.907407407407407"/>
            </c:manualLayout>
          </c:layout>
          <c:overlay val="0"/>
        </c:title>
        <c:numFmt formatCode="0.00000" sourceLinked="1"/>
        <c:majorTickMark val="in"/>
        <c:minorTickMark val="none"/>
        <c:tickLblPos val="nextTo"/>
        <c:crossAx val="2121302024"/>
        <c:crossesAt val="-20"/>
        <c:crossBetween val="midCat"/>
      </c:valAx>
      <c:valAx>
        <c:axId val="2121302024"/>
        <c:scaling>
          <c:orientation val="minMax"/>
          <c:max val="10"/>
          <c:min val="-2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eNd515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-20296744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eHf</a:t>
            </a:r>
            <a:r>
              <a:rPr lang="en-US" baseline="0"/>
              <a:t> vs eNd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xVal>
            <c:numRef>
              <c:f>'summary table'!$C$114:$G$114</c:f>
              <c:numCache>
                <c:formatCode>0.0</c:formatCode>
                <c:ptCount val="5"/>
                <c:pt idx="0">
                  <c:v>-11.007884972058513</c:v>
                </c:pt>
                <c:pt idx="1">
                  <c:v>-13.893428039538636</c:v>
                </c:pt>
                <c:pt idx="2">
                  <c:v>-12.955390343364348</c:v>
                </c:pt>
                <c:pt idx="3">
                  <c:v>-13.685387095739854</c:v>
                </c:pt>
                <c:pt idx="4">
                  <c:v>-14.2013209096159</c:v>
                </c:pt>
              </c:numCache>
            </c:numRef>
          </c:xVal>
          <c:yVal>
            <c:numRef>
              <c:f>'summary table'!$C$116:$G$116</c:f>
              <c:numCache>
                <c:formatCode>0.0</c:formatCode>
                <c:ptCount val="5"/>
                <c:pt idx="0">
                  <c:v>-11.743370891811322</c:v>
                </c:pt>
                <c:pt idx="1">
                  <c:v>-16.901607472672442</c:v>
                </c:pt>
                <c:pt idx="2">
                  <c:v>-15.251540911856987</c:v>
                </c:pt>
                <c:pt idx="3">
                  <c:v>-17.255525219076475</c:v>
                </c:pt>
                <c:pt idx="4">
                  <c:v>-18.344393066519473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0D-9D4F-BA33-EB3C9606A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0868552"/>
        <c:axId val="-2061944872"/>
      </c:scatterChart>
      <c:valAx>
        <c:axId val="-2060868552"/>
        <c:scaling>
          <c:orientation val="minMax"/>
          <c:max val="10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eNd 515</a:t>
                </a:r>
              </a:p>
            </c:rich>
          </c:tx>
          <c:layout>
            <c:manualLayout>
              <c:xMode val="edge"/>
              <c:yMode val="edge"/>
              <c:x val="0.51573490813648304"/>
              <c:y val="0.90277777777777801"/>
            </c:manualLayout>
          </c:layout>
          <c:overlay val="0"/>
        </c:title>
        <c:numFmt formatCode="0.0" sourceLinked="1"/>
        <c:majorTickMark val="in"/>
        <c:minorTickMark val="none"/>
        <c:tickLblPos val="nextTo"/>
        <c:crossAx val="-2061944872"/>
        <c:crosses val="autoZero"/>
        <c:crossBetween val="midCat"/>
      </c:valAx>
      <c:valAx>
        <c:axId val="-2061944872"/>
        <c:scaling>
          <c:orientation val="minMax"/>
          <c:max val="15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eHf 515</a:t>
                </a:r>
              </a:p>
            </c:rich>
          </c:tx>
          <c:layout>
            <c:manualLayout>
              <c:xMode val="edge"/>
              <c:yMode val="edge"/>
              <c:x val="2.2222222222222199E-2"/>
              <c:y val="0.392656022163896"/>
            </c:manualLayout>
          </c:layout>
          <c:overlay val="0"/>
        </c:title>
        <c:numFmt formatCode="0.0" sourceLinked="1"/>
        <c:majorTickMark val="in"/>
        <c:minorTickMark val="none"/>
        <c:tickLblPos val="nextTo"/>
        <c:crossAx val="-20608685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 paperSize="9" orientation="portrait" horizontalDpi="-4" verticalDpi="-4"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30" workbookViewId="0"/>
  </sheetViews>
  <pageMargins left="0.75" right="0.75" top="1" bottom="1" header="0.5" footer="0.5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87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3101992" cy="20272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3101992" cy="20272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8242300" y="13144500"/>
    <xdr:ext cx="9197474" cy="5614737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8</xdr:col>
      <xdr:colOff>838200</xdr:colOff>
      <xdr:row>101</xdr:row>
      <xdr:rowOff>6350</xdr:rowOff>
    </xdr:from>
    <xdr:to>
      <xdr:col>13</xdr:col>
      <xdr:colOff>647700</xdr:colOff>
      <xdr:row>115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609600</xdr:colOff>
      <xdr:row>104</xdr:row>
      <xdr:rowOff>177800</xdr:rowOff>
    </xdr:from>
    <xdr:to>
      <xdr:col>11</xdr:col>
      <xdr:colOff>838200</xdr:colOff>
      <xdr:row>111</xdr:row>
      <xdr:rowOff>25400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H="1">
          <a:off x="9804400" y="19989800"/>
          <a:ext cx="2133600" cy="11811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825500</xdr:colOff>
      <xdr:row>115</xdr:row>
      <xdr:rowOff>171450</xdr:rowOff>
    </xdr:from>
    <xdr:to>
      <xdr:col>13</xdr:col>
      <xdr:colOff>635000</xdr:colOff>
      <xdr:row>130</xdr:row>
      <xdr:rowOff>57150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63500</xdr:colOff>
      <xdr:row>119</xdr:row>
      <xdr:rowOff>63500</xdr:rowOff>
    </xdr:from>
    <xdr:to>
      <xdr:col>12</xdr:col>
      <xdr:colOff>279400</xdr:colOff>
      <xdr:row>127</xdr:row>
      <xdr:rowOff>12700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flipH="1">
          <a:off x="11163300" y="22733000"/>
          <a:ext cx="1168400" cy="14732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825500</xdr:colOff>
      <xdr:row>130</xdr:row>
      <xdr:rowOff>120650</xdr:rowOff>
    </xdr:from>
    <xdr:to>
      <xdr:col>13</xdr:col>
      <xdr:colOff>635000</xdr:colOff>
      <xdr:row>145</xdr:row>
      <xdr:rowOff>6350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571500</xdr:colOff>
      <xdr:row>126</xdr:row>
      <xdr:rowOff>184150</xdr:rowOff>
    </xdr:from>
    <xdr:to>
      <xdr:col>5</xdr:col>
      <xdr:colOff>0</xdr:colOff>
      <xdr:row>141</xdr:row>
      <xdr:rowOff>69850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</xdr:col>
      <xdr:colOff>546100</xdr:colOff>
      <xdr:row>129</xdr:row>
      <xdr:rowOff>38100</xdr:rowOff>
    </xdr:from>
    <xdr:ext cx="588848" cy="26161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1498600" y="24612600"/>
          <a:ext cx="588848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mantle</a:t>
          </a:r>
        </a:p>
      </xdr:txBody>
    </xdr:sp>
    <xdr:clientData/>
  </xdr:oneCellAnchor>
  <xdr:twoCellAnchor>
    <xdr:from>
      <xdr:col>3</xdr:col>
      <xdr:colOff>241300</xdr:colOff>
      <xdr:row>142</xdr:row>
      <xdr:rowOff>57150</xdr:rowOff>
    </xdr:from>
    <xdr:to>
      <xdr:col>7</xdr:col>
      <xdr:colOff>508000</xdr:colOff>
      <xdr:row>156</xdr:row>
      <xdr:rowOff>133350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711200</xdr:colOff>
      <xdr:row>145</xdr:row>
      <xdr:rowOff>25400</xdr:rowOff>
    </xdr:from>
    <xdr:to>
      <xdr:col>6</xdr:col>
      <xdr:colOff>546100</xdr:colOff>
      <xdr:row>155</xdr:row>
      <xdr:rowOff>50800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CxnSpPr/>
      </xdr:nvCxnSpPr>
      <xdr:spPr>
        <a:xfrm flipH="1">
          <a:off x="3695700" y="27647900"/>
          <a:ext cx="3073400" cy="1930400"/>
        </a:xfrm>
        <a:prstGeom prst="line">
          <a:avLst/>
        </a:prstGeom>
        <a:ln w="12700" cmpd="sng">
          <a:prstDash val="sys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114300</xdr:colOff>
      <xdr:row>146</xdr:row>
      <xdr:rowOff>114300</xdr:rowOff>
    </xdr:from>
    <xdr:ext cx="1236236" cy="26161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6337300" y="27927300"/>
          <a:ext cx="123623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global</a:t>
          </a:r>
          <a:r>
            <a:rPr lang="en-US" sz="1100" baseline="0"/>
            <a:t> Hf-Nd array</a:t>
          </a:r>
          <a:endParaRPr lang="en-US" sz="1100"/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0.26389</cdr:x>
      <cdr:y>0.22454</cdr:y>
    </cdr:from>
    <cdr:to>
      <cdr:x>0.67222</cdr:x>
      <cdr:y>0.7662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7DA67F25-E9C9-AD9B-2846-5BBC46C3A00E}"/>
            </a:ext>
          </a:extLst>
        </cdr:cNvPr>
        <cdr:cNvCxnSpPr/>
      </cdr:nvCxnSpPr>
      <cdr:spPr>
        <a:xfrm xmlns:a="http://schemas.openxmlformats.org/drawingml/2006/main" flipH="1">
          <a:off x="1206500" y="615950"/>
          <a:ext cx="1866900" cy="14859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0.15833</cdr:x>
      <cdr:y>0.1412</cdr:y>
    </cdr:from>
    <cdr:to>
      <cdr:x>0.20278</cdr:x>
      <cdr:y>0.27083</cdr:y>
    </cdr:to>
    <cdr:sp macro="" textlink="">
      <cdr:nvSpPr>
        <cdr:cNvPr id="2" name="Oval 1"/>
        <cdr:cNvSpPr/>
      </cdr:nvSpPr>
      <cdr:spPr>
        <a:xfrm xmlns:a="http://schemas.openxmlformats.org/drawingml/2006/main">
          <a:off x="723900" y="387350"/>
          <a:ext cx="203200" cy="355600"/>
        </a:xfrm>
        <a:prstGeom xmlns:a="http://schemas.openxmlformats.org/drawingml/2006/main" prst="ellipse">
          <a:avLst/>
        </a:prstGeom>
        <a:solidFill xmlns:a="http://schemas.openxmlformats.org/drawingml/2006/main">
          <a:srgbClr val="FF0000"/>
        </a:solidFill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0"/>
  <sheetViews>
    <sheetView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9" sqref="P9:T9"/>
    </sheetView>
  </sheetViews>
  <sheetFormatPr defaultColWidth="11.5546875" defaultRowHeight="15.75" x14ac:dyDescent="0.25"/>
  <cols>
    <col min="1" max="2" width="10.6640625" style="1"/>
  </cols>
  <sheetData>
    <row r="1" spans="1:20" x14ac:dyDescent="0.2">
      <c r="A1" s="2"/>
      <c r="B1" s="3" t="s">
        <v>12</v>
      </c>
      <c r="C1" t="s">
        <v>6</v>
      </c>
      <c r="D1" t="s">
        <v>7</v>
      </c>
      <c r="E1" t="s">
        <v>11</v>
      </c>
      <c r="F1" t="s">
        <v>10</v>
      </c>
      <c r="G1" t="s">
        <v>8</v>
      </c>
      <c r="H1" t="s">
        <v>9</v>
      </c>
      <c r="I1" t="s">
        <v>0</v>
      </c>
      <c r="J1" t="s">
        <v>1</v>
      </c>
      <c r="K1" t="s">
        <v>2</v>
      </c>
      <c r="L1" t="s">
        <v>3</v>
      </c>
      <c r="M1" t="s">
        <v>4</v>
      </c>
      <c r="N1" t="s">
        <v>5</v>
      </c>
      <c r="P1" t="s">
        <v>1</v>
      </c>
      <c r="Q1" t="s">
        <v>2</v>
      </c>
      <c r="R1" t="s">
        <v>3</v>
      </c>
      <c r="S1" t="s">
        <v>4</v>
      </c>
      <c r="T1" t="s">
        <v>5</v>
      </c>
    </row>
    <row r="2" spans="1:20" x14ac:dyDescent="0.2">
      <c r="A2" s="2"/>
      <c r="B2" s="3"/>
      <c r="C2" t="s">
        <v>189</v>
      </c>
      <c r="D2" t="s">
        <v>189</v>
      </c>
      <c r="E2" t="s">
        <v>189</v>
      </c>
      <c r="F2" t="s">
        <v>189</v>
      </c>
      <c r="G2" t="s">
        <v>189</v>
      </c>
      <c r="H2" t="s">
        <v>189</v>
      </c>
      <c r="I2" t="s">
        <v>189</v>
      </c>
      <c r="J2" t="s">
        <v>189</v>
      </c>
      <c r="K2" t="s">
        <v>189</v>
      </c>
      <c r="L2" t="s">
        <v>189</v>
      </c>
      <c r="M2" t="s">
        <v>189</v>
      </c>
      <c r="N2" t="s">
        <v>189</v>
      </c>
      <c r="P2" t="s">
        <v>190</v>
      </c>
      <c r="Q2" t="s">
        <v>190</v>
      </c>
      <c r="R2" t="s">
        <v>190</v>
      </c>
      <c r="S2" t="s">
        <v>190</v>
      </c>
      <c r="T2" t="s">
        <v>190</v>
      </c>
    </row>
    <row r="3" spans="1:20" x14ac:dyDescent="0.2">
      <c r="A3" s="2" t="s">
        <v>85</v>
      </c>
      <c r="B3" s="3"/>
      <c r="C3" s="15">
        <v>3894.3269482114865</v>
      </c>
      <c r="D3" s="15">
        <v>3925.5213475487162</v>
      </c>
      <c r="E3" s="15">
        <v>4079.6462475479825</v>
      </c>
      <c r="F3" s="15">
        <v>3035.4440425869666</v>
      </c>
      <c r="G3" s="15">
        <v>6878.6086405827791</v>
      </c>
      <c r="H3" s="15">
        <v>6598.8457177167611</v>
      </c>
      <c r="I3" s="15">
        <v>19984.267324736211</v>
      </c>
      <c r="J3" s="15">
        <v>19770.68473143319</v>
      </c>
      <c r="K3" s="15">
        <v>20102.957124966862</v>
      </c>
      <c r="L3" s="15">
        <v>20091.677166625519</v>
      </c>
      <c r="M3" s="15">
        <v>19952.108153503697</v>
      </c>
      <c r="N3" s="15">
        <v>19960.656675805982</v>
      </c>
    </row>
    <row r="5" spans="1:20" x14ac:dyDescent="0.2">
      <c r="A5" s="3" t="s">
        <v>14</v>
      </c>
      <c r="B5" s="3" t="s">
        <v>13</v>
      </c>
      <c r="C5" s="4">
        <v>9130.960130826712</v>
      </c>
      <c r="D5" s="4">
        <v>9184.5012554338791</v>
      </c>
      <c r="E5" s="4">
        <v>7481.0582516667373</v>
      </c>
      <c r="F5" s="4">
        <v>7510.0821560060758</v>
      </c>
      <c r="G5" s="4">
        <v>9310.8649275856133</v>
      </c>
      <c r="H5" s="4">
        <v>9329.0923955166272</v>
      </c>
      <c r="I5" s="4">
        <v>36515.630307981948</v>
      </c>
      <c r="J5" s="4">
        <v>39916.182120338686</v>
      </c>
      <c r="K5" s="4">
        <v>38705.248963236991</v>
      </c>
      <c r="L5" s="4">
        <v>16201.619490138806</v>
      </c>
      <c r="M5" s="4">
        <v>17892.777667557748</v>
      </c>
      <c r="N5" s="4">
        <v>15283.785893039494</v>
      </c>
      <c r="O5" s="3" t="s">
        <v>14</v>
      </c>
      <c r="P5" s="19">
        <f>0.001*J5</f>
        <v>39.916182120338689</v>
      </c>
      <c r="Q5" s="19">
        <f t="shared" ref="Q5:T20" si="0">0.001*K5</f>
        <v>38.70524896323699</v>
      </c>
      <c r="R5" s="19">
        <f t="shared" si="0"/>
        <v>16.201619490138807</v>
      </c>
      <c r="S5" s="19">
        <f t="shared" si="0"/>
        <v>17.892777667557748</v>
      </c>
      <c r="T5" s="19">
        <f t="shared" si="0"/>
        <v>15.283785893039495</v>
      </c>
    </row>
    <row r="6" spans="1:20" x14ac:dyDescent="0.2">
      <c r="A6" s="3" t="s">
        <v>15</v>
      </c>
      <c r="B6" s="3" t="s">
        <v>13</v>
      </c>
      <c r="C6" s="4">
        <v>617.42856742373419</v>
      </c>
      <c r="D6" s="4">
        <v>617.51296576188611</v>
      </c>
      <c r="E6" s="4">
        <v>657.20110684798158</v>
      </c>
      <c r="F6" s="4">
        <v>646.30223642366866</v>
      </c>
      <c r="G6" s="4">
        <v>2176.0989182422022</v>
      </c>
      <c r="H6" s="4">
        <v>2192.5032432136732</v>
      </c>
      <c r="I6" s="4">
        <v>1521.0483419433162</v>
      </c>
      <c r="J6" s="4">
        <v>2500.2317418357038</v>
      </c>
      <c r="K6" s="4">
        <v>2797.0021605780321</v>
      </c>
      <c r="L6" s="4">
        <v>2853.442661167091</v>
      </c>
      <c r="M6" s="4">
        <v>3325.7661770778959</v>
      </c>
      <c r="N6" s="4">
        <v>3077.7709349152624</v>
      </c>
      <c r="O6" s="3" t="s">
        <v>15</v>
      </c>
      <c r="P6" s="19">
        <f t="shared" ref="P6:P55" si="1">0.001*J6</f>
        <v>2.5002317418357038</v>
      </c>
      <c r="Q6" s="19">
        <f t="shared" si="0"/>
        <v>2.7970021605780322</v>
      </c>
      <c r="R6" s="19">
        <f t="shared" si="0"/>
        <v>2.8534426611670911</v>
      </c>
      <c r="S6" s="19">
        <f t="shared" si="0"/>
        <v>3.3257661770778961</v>
      </c>
      <c r="T6" s="19">
        <f t="shared" si="0"/>
        <v>3.0777709349152627</v>
      </c>
    </row>
    <row r="7" spans="1:20" x14ac:dyDescent="0.2">
      <c r="A7" s="3" t="s">
        <v>16</v>
      </c>
      <c r="B7" s="3" t="s">
        <v>13</v>
      </c>
      <c r="C7" s="4">
        <v>77716769.646706909</v>
      </c>
      <c r="D7" s="4">
        <v>77657315.181642786</v>
      </c>
      <c r="E7" s="4">
        <v>69924942.09683159</v>
      </c>
      <c r="F7" s="4">
        <v>70011598.874330908</v>
      </c>
      <c r="G7" s="4">
        <v>50743175.538442634</v>
      </c>
      <c r="H7" s="4">
        <v>51476460.707549028</v>
      </c>
      <c r="I7" s="4">
        <v>15093224.580102786</v>
      </c>
      <c r="J7" s="4">
        <v>18421844.765730172</v>
      </c>
      <c r="K7" s="4">
        <v>22635938.382647645</v>
      </c>
      <c r="L7" s="4">
        <v>16744758.628025889</v>
      </c>
      <c r="M7" s="4">
        <v>25909778.860730331</v>
      </c>
      <c r="N7" s="4">
        <v>24011455.634355176</v>
      </c>
      <c r="O7" s="3" t="s">
        <v>16</v>
      </c>
      <c r="P7" s="24">
        <f t="shared" si="1"/>
        <v>18421.844765730173</v>
      </c>
      <c r="Q7" s="24">
        <f t="shared" si="0"/>
        <v>22635.938382647644</v>
      </c>
      <c r="R7" s="24">
        <f t="shared" si="0"/>
        <v>16744.758628025891</v>
      </c>
      <c r="S7" s="24">
        <f t="shared" si="0"/>
        <v>25909.778860730334</v>
      </c>
      <c r="T7" s="24">
        <f t="shared" si="0"/>
        <v>24011.455634355178</v>
      </c>
    </row>
    <row r="8" spans="1:20" x14ac:dyDescent="0.2">
      <c r="A8" s="3" t="s">
        <v>17</v>
      </c>
      <c r="B8" s="3" t="s">
        <v>13</v>
      </c>
      <c r="C8" s="4">
        <v>36179.560717387103</v>
      </c>
      <c r="D8" s="4">
        <v>35966.828730763838</v>
      </c>
      <c r="E8" s="4">
        <v>34374.801678731084</v>
      </c>
      <c r="F8" s="4">
        <v>34313.058066794954</v>
      </c>
      <c r="G8" s="4">
        <v>33428.278573309675</v>
      </c>
      <c r="H8" s="4">
        <v>33960.475597150828</v>
      </c>
      <c r="I8" s="4">
        <v>6543.1715166233789</v>
      </c>
      <c r="J8" s="4">
        <v>16064.440944037467</v>
      </c>
      <c r="K8" s="4">
        <v>10350.850598197696</v>
      </c>
      <c r="L8" s="4">
        <v>11705.943711469072</v>
      </c>
      <c r="M8" s="4">
        <v>11540.053210757615</v>
      </c>
      <c r="N8" s="4">
        <v>13769.185117911464</v>
      </c>
      <c r="O8" s="3" t="s">
        <v>17</v>
      </c>
      <c r="P8" s="19">
        <f t="shared" si="1"/>
        <v>16.064440944037468</v>
      </c>
      <c r="Q8" s="19">
        <f t="shared" si="0"/>
        <v>10.350850598197697</v>
      </c>
      <c r="R8" s="19">
        <f t="shared" si="0"/>
        <v>11.705943711469072</v>
      </c>
      <c r="S8" s="19">
        <f t="shared" si="0"/>
        <v>11.540053210757614</v>
      </c>
      <c r="T8" s="19">
        <f t="shared" si="0"/>
        <v>13.769185117911464</v>
      </c>
    </row>
    <row r="9" spans="1:20" x14ac:dyDescent="0.2">
      <c r="A9" s="3" t="s">
        <v>18</v>
      </c>
      <c r="B9" s="3" t="s">
        <v>13</v>
      </c>
      <c r="C9" s="4">
        <v>6369057.429782155</v>
      </c>
      <c r="D9" s="4">
        <v>6340048.7513261354</v>
      </c>
      <c r="E9" s="4">
        <v>8468268.9043976013</v>
      </c>
      <c r="F9" s="4">
        <v>8467909.1401170138</v>
      </c>
      <c r="G9" s="4">
        <v>13529392.011143399</v>
      </c>
      <c r="H9" s="4">
        <v>13643485.599343847</v>
      </c>
      <c r="I9" s="4">
        <v>3974603.4369497383</v>
      </c>
      <c r="J9" s="4">
        <v>6505497.4549286002</v>
      </c>
      <c r="K9" s="4">
        <v>8580315.7716652844</v>
      </c>
      <c r="L9" s="4">
        <v>6408105.5970532494</v>
      </c>
      <c r="M9" s="4">
        <v>10071899.093745027</v>
      </c>
      <c r="N9" s="4">
        <v>8713544.0258000679</v>
      </c>
      <c r="O9" s="3" t="s">
        <v>18</v>
      </c>
      <c r="P9" s="24">
        <f t="shared" si="1"/>
        <v>6505.4974549286007</v>
      </c>
      <c r="Q9" s="24">
        <f t="shared" si="0"/>
        <v>8580.315771665284</v>
      </c>
      <c r="R9" s="24">
        <f t="shared" si="0"/>
        <v>6408.1055970532498</v>
      </c>
      <c r="S9" s="24">
        <f t="shared" si="0"/>
        <v>10071.899093745027</v>
      </c>
      <c r="T9" s="24">
        <f t="shared" si="0"/>
        <v>8713.544025800069</v>
      </c>
    </row>
    <row r="10" spans="1:20" x14ac:dyDescent="0.2">
      <c r="A10" s="3" t="s">
        <v>19</v>
      </c>
      <c r="B10" s="3" t="s">
        <v>13</v>
      </c>
      <c r="C10" s="5">
        <v>261610.34453089436</v>
      </c>
      <c r="D10" s="5">
        <v>261583.05151767802</v>
      </c>
      <c r="E10" s="5">
        <v>383375.82769244042</v>
      </c>
      <c r="F10" s="5">
        <v>382904.04089070414</v>
      </c>
      <c r="G10" s="5">
        <v>411498.41072849807</v>
      </c>
      <c r="H10" s="5">
        <v>414627.01071792474</v>
      </c>
      <c r="I10" s="5">
        <v>50664.689901065074</v>
      </c>
      <c r="J10" s="5">
        <v>64171.41595657773</v>
      </c>
      <c r="K10" s="5">
        <v>91915.246486732271</v>
      </c>
      <c r="L10" s="5">
        <v>58331.19957363484</v>
      </c>
      <c r="M10" s="5">
        <v>105899.88562257393</v>
      </c>
      <c r="N10" s="5">
        <v>92052.529648357275</v>
      </c>
      <c r="O10" s="3" t="s">
        <v>19</v>
      </c>
      <c r="P10" s="19">
        <f t="shared" si="1"/>
        <v>64.171415956577732</v>
      </c>
      <c r="Q10" s="19">
        <f t="shared" si="0"/>
        <v>91.915246486732272</v>
      </c>
      <c r="R10" s="19">
        <f t="shared" si="0"/>
        <v>58.331199573634841</v>
      </c>
      <c r="S10" s="19">
        <f t="shared" si="0"/>
        <v>105.89988562257393</v>
      </c>
      <c r="T10" s="19">
        <f t="shared" si="0"/>
        <v>92.052529648357279</v>
      </c>
    </row>
    <row r="11" spans="1:20" x14ac:dyDescent="0.2">
      <c r="A11" s="3" t="s">
        <v>20</v>
      </c>
      <c r="B11" s="3" t="s">
        <v>13</v>
      </c>
      <c r="C11" s="4">
        <v>92956.983702358324</v>
      </c>
      <c r="D11" s="4">
        <v>92623.461551033193</v>
      </c>
      <c r="E11" s="4">
        <v>59474.409801903348</v>
      </c>
      <c r="F11" s="4">
        <v>59251.401562843203</v>
      </c>
      <c r="G11" s="4">
        <v>15919.957694908278</v>
      </c>
      <c r="H11" s="4">
        <v>16103.712175269351</v>
      </c>
      <c r="I11" s="4">
        <v>20080.388538466781</v>
      </c>
      <c r="J11" s="4">
        <v>5210.6439196625251</v>
      </c>
      <c r="K11" s="4">
        <v>17384.597482260826</v>
      </c>
      <c r="L11" s="4">
        <v>11259.118134443703</v>
      </c>
      <c r="M11" s="4">
        <v>23559.987569626803</v>
      </c>
      <c r="N11" s="4">
        <v>25196.673993660956</v>
      </c>
      <c r="O11" s="3" t="s">
        <v>20</v>
      </c>
      <c r="P11" s="19">
        <f t="shared" si="1"/>
        <v>5.2106439196625249</v>
      </c>
      <c r="Q11" s="19">
        <f t="shared" si="0"/>
        <v>17.384597482260826</v>
      </c>
      <c r="R11" s="19">
        <f t="shared" si="0"/>
        <v>11.259118134443703</v>
      </c>
      <c r="S11" s="19">
        <f t="shared" si="0"/>
        <v>23.559987569626802</v>
      </c>
      <c r="T11" s="19">
        <f t="shared" si="0"/>
        <v>25.196673993660955</v>
      </c>
    </row>
    <row r="12" spans="1:20" x14ac:dyDescent="0.2">
      <c r="A12" s="3" t="s">
        <v>21</v>
      </c>
      <c r="B12" s="3" t="s">
        <v>13</v>
      </c>
      <c r="C12" s="4">
        <v>44618.998564291425</v>
      </c>
      <c r="D12" s="4">
        <v>44432.201000014618</v>
      </c>
      <c r="E12" s="4">
        <v>35721.12452481137</v>
      </c>
      <c r="F12" s="4">
        <v>35624.850207018375</v>
      </c>
      <c r="G12" s="4">
        <v>38190.026937575909</v>
      </c>
      <c r="H12" s="4">
        <v>38442.193642373422</v>
      </c>
      <c r="I12" s="4">
        <v>7325.6334423853104</v>
      </c>
      <c r="J12" s="4">
        <v>11210.309846051006</v>
      </c>
      <c r="K12" s="4">
        <v>14432.736671171604</v>
      </c>
      <c r="L12" s="4">
        <v>11118.632861842936</v>
      </c>
      <c r="M12" s="4">
        <v>16136.64578334099</v>
      </c>
      <c r="N12" s="4">
        <v>15457.088768644782</v>
      </c>
      <c r="O12" s="3" t="s">
        <v>21</v>
      </c>
      <c r="P12" s="19">
        <f t="shared" si="1"/>
        <v>11.210309846051006</v>
      </c>
      <c r="Q12" s="19">
        <f t="shared" si="0"/>
        <v>14.432736671171604</v>
      </c>
      <c r="R12" s="19">
        <f t="shared" si="0"/>
        <v>11.118632861842936</v>
      </c>
      <c r="S12" s="19">
        <f t="shared" si="0"/>
        <v>16.136645783340988</v>
      </c>
      <c r="T12" s="19">
        <f t="shared" si="0"/>
        <v>15.457088768644782</v>
      </c>
    </row>
    <row r="13" spans="1:20" x14ac:dyDescent="0.2">
      <c r="A13" s="3" t="s">
        <v>22</v>
      </c>
      <c r="B13" s="3" t="s">
        <v>13</v>
      </c>
      <c r="C13" s="4">
        <v>70374.952349235638</v>
      </c>
      <c r="D13" s="4">
        <v>69607.591974965369</v>
      </c>
      <c r="E13" s="4">
        <v>36563.949162173602</v>
      </c>
      <c r="F13" s="4">
        <v>36452.165897117811</v>
      </c>
      <c r="G13" s="4">
        <v>11828.539096264856</v>
      </c>
      <c r="H13" s="4">
        <v>11594.175417382361</v>
      </c>
      <c r="I13" s="4">
        <v>16549.051894935052</v>
      </c>
      <c r="J13" s="4">
        <v>11117.316741149862</v>
      </c>
      <c r="K13" s="4">
        <v>18547.957070108532</v>
      </c>
      <c r="L13" s="4">
        <v>14379.141697205019</v>
      </c>
      <c r="M13" s="4">
        <v>15473.894641429029</v>
      </c>
      <c r="N13" s="4">
        <v>17621.187914396825</v>
      </c>
      <c r="O13" s="3" t="s">
        <v>22</v>
      </c>
      <c r="P13" s="19">
        <f t="shared" si="1"/>
        <v>11.117316741149862</v>
      </c>
      <c r="Q13" s="19">
        <f t="shared" si="0"/>
        <v>18.547957070108534</v>
      </c>
      <c r="R13" s="19">
        <f t="shared" si="0"/>
        <v>14.37914169720502</v>
      </c>
      <c r="S13" s="19">
        <f t="shared" si="0"/>
        <v>15.47389464142903</v>
      </c>
      <c r="T13" s="19">
        <f t="shared" si="0"/>
        <v>17.621187914396824</v>
      </c>
    </row>
    <row r="14" spans="1:20" x14ac:dyDescent="0.2">
      <c r="A14" s="3" t="s">
        <v>23</v>
      </c>
      <c r="B14" s="3" t="s">
        <v>13</v>
      </c>
      <c r="C14" s="4">
        <v>101805.29336695604</v>
      </c>
      <c r="D14" s="4">
        <v>104204.27649101878</v>
      </c>
      <c r="E14" s="4">
        <v>189533.23546759808</v>
      </c>
      <c r="F14" s="4">
        <v>186456.1431721526</v>
      </c>
      <c r="G14" s="4">
        <v>15362.951334953192</v>
      </c>
      <c r="H14" s="4">
        <v>13850.545457469854</v>
      </c>
      <c r="I14" s="4">
        <v>44654.543239113918</v>
      </c>
      <c r="J14" s="4">
        <v>11075.773837279336</v>
      </c>
      <c r="K14" s="4">
        <v>23347.932488564769</v>
      </c>
      <c r="L14" s="4">
        <v>11038.91443895157</v>
      </c>
      <c r="M14" s="4">
        <v>19261.702191044224</v>
      </c>
      <c r="N14" s="4">
        <v>16464.975612572114</v>
      </c>
      <c r="O14" s="3" t="s">
        <v>23</v>
      </c>
      <c r="P14" s="19">
        <f t="shared" si="1"/>
        <v>11.075773837279336</v>
      </c>
      <c r="Q14" s="19">
        <f t="shared" si="0"/>
        <v>23.347932488564769</v>
      </c>
      <c r="R14" s="19">
        <f t="shared" si="0"/>
        <v>11.03891443895157</v>
      </c>
      <c r="S14" s="19">
        <f t="shared" si="0"/>
        <v>19.261702191044225</v>
      </c>
      <c r="T14" s="19">
        <f t="shared" si="0"/>
        <v>16.464975612572115</v>
      </c>
    </row>
    <row r="15" spans="1:20" x14ac:dyDescent="0.2">
      <c r="A15" s="3" t="s">
        <v>24</v>
      </c>
      <c r="B15" s="3" t="s">
        <v>13</v>
      </c>
      <c r="C15" s="4">
        <v>77063.546593318533</v>
      </c>
      <c r="D15" s="4">
        <v>76935.944384754242</v>
      </c>
      <c r="E15" s="4">
        <v>104107.81279614221</v>
      </c>
      <c r="F15" s="4">
        <v>103363.70295001275</v>
      </c>
      <c r="G15" s="4">
        <v>133717.75721233376</v>
      </c>
      <c r="H15" s="4">
        <v>136098.0077386073</v>
      </c>
      <c r="I15" s="4">
        <v>127076.18654529114</v>
      </c>
      <c r="J15" s="4">
        <v>98439.565662098859</v>
      </c>
      <c r="K15" s="4">
        <v>128225.3780666669</v>
      </c>
      <c r="L15" s="4">
        <v>96754.093587874435</v>
      </c>
      <c r="M15" s="4">
        <v>144852.76567615071</v>
      </c>
      <c r="N15" s="4">
        <v>124123.31300941322</v>
      </c>
      <c r="O15" s="3" t="s">
        <v>24</v>
      </c>
      <c r="P15" s="19">
        <f t="shared" si="1"/>
        <v>98.439565662098858</v>
      </c>
      <c r="Q15" s="19">
        <f t="shared" si="0"/>
        <v>128.22537806666691</v>
      </c>
      <c r="R15" s="19">
        <f t="shared" si="0"/>
        <v>96.754093587874436</v>
      </c>
      <c r="S15" s="19">
        <f t="shared" si="0"/>
        <v>144.85276567615071</v>
      </c>
      <c r="T15" s="19">
        <f t="shared" si="0"/>
        <v>124.12331300941322</v>
      </c>
    </row>
    <row r="16" spans="1:20" x14ac:dyDescent="0.2">
      <c r="A16" s="3" t="s">
        <v>25</v>
      </c>
      <c r="B16" s="3" t="s">
        <v>13</v>
      </c>
      <c r="C16" s="4">
        <v>17359.858171353149</v>
      </c>
      <c r="D16" s="4">
        <v>17487.889793204362</v>
      </c>
      <c r="E16" s="4">
        <v>20021.811013210914</v>
      </c>
      <c r="F16" s="4">
        <v>19988.81778520047</v>
      </c>
      <c r="G16" s="4">
        <v>21704.476172527426</v>
      </c>
      <c r="H16" s="4">
        <v>21957.184405498381</v>
      </c>
      <c r="I16" s="4">
        <v>21962.385442579245</v>
      </c>
      <c r="J16" s="4">
        <v>20206.453869359972</v>
      </c>
      <c r="K16" s="4">
        <v>21614.563576429169</v>
      </c>
      <c r="L16" s="4">
        <v>19280.201098566984</v>
      </c>
      <c r="M16" s="4">
        <v>23960.543530404433</v>
      </c>
      <c r="N16" s="4">
        <v>22441.486542861931</v>
      </c>
      <c r="O16" s="3" t="s">
        <v>25</v>
      </c>
      <c r="P16" s="19">
        <f t="shared" si="1"/>
        <v>20.206453869359972</v>
      </c>
      <c r="Q16" s="19">
        <f t="shared" si="0"/>
        <v>21.61456357642917</v>
      </c>
      <c r="R16" s="19">
        <f t="shared" si="0"/>
        <v>19.280201098566984</v>
      </c>
      <c r="S16" s="19">
        <f t="shared" si="0"/>
        <v>23.960543530404433</v>
      </c>
      <c r="T16" s="19">
        <f t="shared" si="0"/>
        <v>22.441486542861931</v>
      </c>
    </row>
    <row r="17" spans="1:20" x14ac:dyDescent="0.2">
      <c r="A17" s="3" t="s">
        <v>26</v>
      </c>
      <c r="B17" s="3" t="s">
        <v>13</v>
      </c>
      <c r="C17" s="4">
        <v>798.14510873336758</v>
      </c>
      <c r="D17" s="4">
        <v>761.7095450295617</v>
      </c>
      <c r="E17" s="4">
        <v>925.35790658973701</v>
      </c>
      <c r="F17" s="4">
        <v>976.93017481622428</v>
      </c>
      <c r="G17" s="4">
        <v>648.21720332807229</v>
      </c>
      <c r="H17" s="4">
        <v>518.949127207385</v>
      </c>
      <c r="I17" s="4">
        <v>392.78190441104323</v>
      </c>
      <c r="J17" s="4">
        <v>2584.8438425921058</v>
      </c>
      <c r="K17" s="4">
        <v>998.93927527649441</v>
      </c>
      <c r="L17" s="4">
        <v>753.98989993512555</v>
      </c>
      <c r="M17" s="4">
        <v>726.18985323543779</v>
      </c>
      <c r="N17" s="4">
        <v>720.27951548424016</v>
      </c>
      <c r="O17" s="3" t="s">
        <v>26</v>
      </c>
      <c r="P17" s="19">
        <f t="shared" si="1"/>
        <v>2.5848438425921061</v>
      </c>
      <c r="Q17" s="19">
        <f t="shared" si="0"/>
        <v>0.9989392752764944</v>
      </c>
      <c r="R17" s="19">
        <f t="shared" si="0"/>
        <v>0.75398989993512555</v>
      </c>
      <c r="S17" s="19">
        <f t="shared" si="0"/>
        <v>0.72618985323543783</v>
      </c>
      <c r="T17" s="19">
        <f t="shared" si="0"/>
        <v>0.72027951548424018</v>
      </c>
    </row>
    <row r="18" spans="1:20" x14ac:dyDescent="0.2">
      <c r="A18" s="3" t="s">
        <v>27</v>
      </c>
      <c r="B18" s="3" t="s">
        <v>13</v>
      </c>
      <c r="C18" s="4">
        <v>19685.319553403882</v>
      </c>
      <c r="D18" s="4">
        <v>19922.557665837379</v>
      </c>
      <c r="E18" s="4">
        <v>14329.768355625707</v>
      </c>
      <c r="F18" s="4">
        <v>14226.485561202955</v>
      </c>
      <c r="G18" s="4">
        <v>46968.672096181443</v>
      </c>
      <c r="H18" s="4">
        <v>47408.463261990109</v>
      </c>
      <c r="I18" s="4">
        <v>245518.48693616444</v>
      </c>
      <c r="J18" s="4">
        <v>184902.24594821793</v>
      </c>
      <c r="K18" s="4">
        <v>193632.98692943962</v>
      </c>
      <c r="L18" s="4">
        <v>309532.58400937193</v>
      </c>
      <c r="M18" s="4">
        <v>208570.15704055983</v>
      </c>
      <c r="N18" s="4">
        <v>244798.01920026023</v>
      </c>
      <c r="O18" s="3" t="s">
        <v>27</v>
      </c>
      <c r="P18" s="23">
        <f t="shared" si="1"/>
        <v>184.90224594821794</v>
      </c>
      <c r="Q18" s="23">
        <f t="shared" si="0"/>
        <v>193.63298692943962</v>
      </c>
      <c r="R18" s="23">
        <f t="shared" si="0"/>
        <v>309.53258400937193</v>
      </c>
      <c r="S18" s="23">
        <f t="shared" si="0"/>
        <v>208.57015704055985</v>
      </c>
      <c r="T18" s="23">
        <f t="shared" si="0"/>
        <v>244.79801920026023</v>
      </c>
    </row>
    <row r="19" spans="1:20" x14ac:dyDescent="0.2">
      <c r="A19" s="3" t="s">
        <v>28</v>
      </c>
      <c r="B19" s="3" t="s">
        <v>13</v>
      </c>
      <c r="C19" s="4">
        <v>194371.60538736047</v>
      </c>
      <c r="D19" s="4">
        <v>195288.74691378511</v>
      </c>
      <c r="E19" s="4">
        <v>409205.79528020648</v>
      </c>
      <c r="F19" s="4">
        <v>407288.37200979149</v>
      </c>
      <c r="G19" s="4">
        <v>338121.94169961533</v>
      </c>
      <c r="H19" s="4">
        <v>341559.32860781159</v>
      </c>
      <c r="I19" s="4">
        <v>236854.53740130496</v>
      </c>
      <c r="J19" s="4">
        <v>149627.49130637432</v>
      </c>
      <c r="K19" s="4">
        <v>255704.35731824359</v>
      </c>
      <c r="L19" s="4">
        <v>246680.62423303604</v>
      </c>
      <c r="M19" s="4">
        <v>287304.71369391499</v>
      </c>
      <c r="N19" s="4">
        <v>284811.55412100337</v>
      </c>
      <c r="O19" s="3" t="s">
        <v>28</v>
      </c>
      <c r="P19" s="23">
        <f t="shared" si="1"/>
        <v>149.62749130637431</v>
      </c>
      <c r="Q19" s="23">
        <f t="shared" si="0"/>
        <v>255.70435731824361</v>
      </c>
      <c r="R19" s="23">
        <f t="shared" si="0"/>
        <v>246.68062423303604</v>
      </c>
      <c r="S19" s="23">
        <f t="shared" si="0"/>
        <v>287.30471369391501</v>
      </c>
      <c r="T19" s="23">
        <f t="shared" si="0"/>
        <v>284.81155412100338</v>
      </c>
    </row>
    <row r="20" spans="1:20" x14ac:dyDescent="0.2">
      <c r="A20" s="3" t="s">
        <v>29</v>
      </c>
      <c r="B20" s="3" t="s">
        <v>13</v>
      </c>
      <c r="C20" s="4">
        <v>194528.80898984193</v>
      </c>
      <c r="D20" s="4">
        <v>195130.28407651981</v>
      </c>
      <c r="E20" s="4">
        <v>408953.54573265486</v>
      </c>
      <c r="F20" s="4">
        <v>408620.50849587837</v>
      </c>
      <c r="G20" s="4">
        <v>338313.04481172533</v>
      </c>
      <c r="H20" s="4">
        <v>341711.63180560083</v>
      </c>
      <c r="I20" s="4">
        <v>237733.8944509172</v>
      </c>
      <c r="J20" s="4">
        <v>150267.93223340367</v>
      </c>
      <c r="K20" s="4">
        <v>256440.72148226242</v>
      </c>
      <c r="L20" s="4">
        <v>248057.02105662052</v>
      </c>
      <c r="M20" s="4">
        <v>287941.81889262225</v>
      </c>
      <c r="N20" s="4">
        <v>285514.12099889352</v>
      </c>
      <c r="O20" s="3" t="s">
        <v>29</v>
      </c>
      <c r="P20" s="23">
        <f t="shared" si="1"/>
        <v>150.26793223340368</v>
      </c>
      <c r="Q20" s="23">
        <f t="shared" si="0"/>
        <v>256.4407214822624</v>
      </c>
      <c r="R20" s="23">
        <f t="shared" si="0"/>
        <v>248.05702105662053</v>
      </c>
      <c r="S20" s="23">
        <f t="shared" si="0"/>
        <v>287.94181889262228</v>
      </c>
      <c r="T20" s="23">
        <f t="shared" si="0"/>
        <v>285.51412099889353</v>
      </c>
    </row>
    <row r="21" spans="1:20" x14ac:dyDescent="0.2">
      <c r="A21" s="3" t="s">
        <v>30</v>
      </c>
      <c r="B21" s="3" t="s">
        <v>13</v>
      </c>
      <c r="C21" s="4">
        <v>20142.964988528347</v>
      </c>
      <c r="D21" s="4">
        <v>20083.569003253393</v>
      </c>
      <c r="E21" s="4">
        <v>24195.347390489496</v>
      </c>
      <c r="F21" s="4">
        <v>24174.828483776786</v>
      </c>
      <c r="G21" s="4">
        <v>33173.957973571822</v>
      </c>
      <c r="H21" s="4">
        <v>33576.472757945354</v>
      </c>
      <c r="I21" s="4">
        <v>24787.52818088009</v>
      </c>
      <c r="J21" s="4">
        <v>91709.384538221464</v>
      </c>
      <c r="K21" s="4">
        <v>42920.202367069229</v>
      </c>
      <c r="L21" s="4">
        <v>58402.792279186237</v>
      </c>
      <c r="M21" s="4">
        <v>61390.640783615454</v>
      </c>
      <c r="N21" s="4">
        <v>51070.85723335798</v>
      </c>
      <c r="O21" s="3" t="s">
        <v>30</v>
      </c>
      <c r="P21" s="23">
        <f t="shared" si="1"/>
        <v>91.709384538221471</v>
      </c>
      <c r="Q21" s="23">
        <f t="shared" ref="Q21:Q55" si="2">0.001*K21</f>
        <v>42.92020236706923</v>
      </c>
      <c r="R21" s="23">
        <f t="shared" ref="R21:R55" si="3">0.001*L21</f>
        <v>58.402792279186237</v>
      </c>
      <c r="S21" s="23">
        <f t="shared" ref="S21:S55" si="4">0.001*M21</f>
        <v>61.390640783615453</v>
      </c>
      <c r="T21" s="23">
        <f t="shared" ref="T21:T55" si="5">0.001*N21</f>
        <v>51.070857233357984</v>
      </c>
    </row>
    <row r="22" spans="1:20" x14ac:dyDescent="0.2">
      <c r="A22" s="3" t="s">
        <v>31</v>
      </c>
      <c r="B22" s="3" t="s">
        <v>13</v>
      </c>
      <c r="C22" s="5">
        <v>88167.351176127675</v>
      </c>
      <c r="D22" s="5">
        <v>87562.89369453954</v>
      </c>
      <c r="E22" s="5">
        <v>93356.484410962919</v>
      </c>
      <c r="F22" s="5">
        <v>93544.42855401065</v>
      </c>
      <c r="G22" s="5">
        <v>186006.23914981441</v>
      </c>
      <c r="H22" s="5">
        <v>188757.81257064399</v>
      </c>
      <c r="I22" s="5">
        <v>589957.31508426403</v>
      </c>
      <c r="J22" s="5">
        <v>328407.48883104435</v>
      </c>
      <c r="K22" s="5">
        <v>313310.15509651281</v>
      </c>
      <c r="L22" s="5">
        <v>515390.9051334851</v>
      </c>
      <c r="M22" s="5">
        <v>294827.05959108559</v>
      </c>
      <c r="N22" s="5">
        <v>354351.99023275991</v>
      </c>
      <c r="O22" s="3" t="s">
        <v>31</v>
      </c>
      <c r="P22" s="23">
        <f t="shared" si="1"/>
        <v>328.40748883104436</v>
      </c>
      <c r="Q22" s="23">
        <f t="shared" si="2"/>
        <v>313.3101550965128</v>
      </c>
      <c r="R22" s="23">
        <f t="shared" si="3"/>
        <v>515.39090513348515</v>
      </c>
      <c r="S22" s="23">
        <f t="shared" si="4"/>
        <v>294.82705959108557</v>
      </c>
      <c r="T22" s="23">
        <f t="shared" si="5"/>
        <v>354.35199023275993</v>
      </c>
    </row>
    <row r="23" spans="1:20" x14ac:dyDescent="0.2">
      <c r="A23" s="3" t="s">
        <v>32</v>
      </c>
      <c r="B23" s="3" t="s">
        <v>13</v>
      </c>
      <c r="C23" s="4">
        <v>88451.794065205919</v>
      </c>
      <c r="D23" s="4">
        <v>87276.172356530733</v>
      </c>
      <c r="E23" s="4">
        <v>93504.256370176823</v>
      </c>
      <c r="F23" s="4">
        <v>93585.279333584695</v>
      </c>
      <c r="G23" s="4">
        <v>186482.06847463307</v>
      </c>
      <c r="H23" s="4">
        <v>188580.48195920375</v>
      </c>
      <c r="I23" s="4">
        <v>590455.96953366208</v>
      </c>
      <c r="J23" s="4">
        <v>328597.82848557248</v>
      </c>
      <c r="K23" s="4">
        <v>312467.84587824001</v>
      </c>
      <c r="L23" s="4">
        <v>516478.63824465283</v>
      </c>
      <c r="M23" s="4">
        <v>294859.68712969258</v>
      </c>
      <c r="N23" s="4">
        <v>354340.25942383928</v>
      </c>
      <c r="O23" s="3" t="s">
        <v>32</v>
      </c>
      <c r="P23" s="23">
        <f t="shared" si="1"/>
        <v>328.59782848557251</v>
      </c>
      <c r="Q23" s="23">
        <f t="shared" si="2"/>
        <v>312.46784587824004</v>
      </c>
      <c r="R23" s="23">
        <f t="shared" si="3"/>
        <v>516.47863824465287</v>
      </c>
      <c r="S23" s="23">
        <f t="shared" si="4"/>
        <v>294.85968712969259</v>
      </c>
      <c r="T23" s="23">
        <f t="shared" si="5"/>
        <v>354.34025942383926</v>
      </c>
    </row>
    <row r="24" spans="1:20" x14ac:dyDescent="0.2">
      <c r="A24" s="3" t="s">
        <v>33</v>
      </c>
      <c r="B24" s="3" t="s">
        <v>13</v>
      </c>
      <c r="C24" s="4">
        <v>7290.2060034522628</v>
      </c>
      <c r="D24" s="4">
        <v>7260.217401881283</v>
      </c>
      <c r="E24" s="4">
        <v>2019.6727217250386</v>
      </c>
      <c r="F24" s="4">
        <v>2034.1284556167118</v>
      </c>
      <c r="G24" s="4">
        <v>12262.143587305864</v>
      </c>
      <c r="H24" s="4">
        <v>12416.381418922994</v>
      </c>
      <c r="I24" s="4">
        <v>26126.03336681439</v>
      </c>
      <c r="J24" s="4">
        <v>26036.805082292085</v>
      </c>
      <c r="K24" s="4">
        <v>30043.605193329247</v>
      </c>
      <c r="L24" s="4">
        <v>37739.130399176553</v>
      </c>
      <c r="M24" s="4">
        <v>41916.35361396792</v>
      </c>
      <c r="N24" s="4">
        <v>34766.725705523138</v>
      </c>
      <c r="O24" s="3" t="s">
        <v>33</v>
      </c>
      <c r="P24" s="19">
        <f t="shared" si="1"/>
        <v>26.036805082292087</v>
      </c>
      <c r="Q24" s="19">
        <f t="shared" si="2"/>
        <v>30.043605193329249</v>
      </c>
      <c r="R24" s="19">
        <f t="shared" si="3"/>
        <v>37.739130399176553</v>
      </c>
      <c r="S24" s="19">
        <f t="shared" si="4"/>
        <v>41.916353613967921</v>
      </c>
      <c r="T24" s="19">
        <f t="shared" si="5"/>
        <v>34.766725705523136</v>
      </c>
    </row>
    <row r="25" spans="1:20" x14ac:dyDescent="0.2">
      <c r="A25" s="3" t="s">
        <v>34</v>
      </c>
      <c r="B25" s="3" t="s">
        <v>13</v>
      </c>
      <c r="C25" s="4">
        <v>426.40269093618014</v>
      </c>
      <c r="D25" s="4">
        <v>420.26881952405739</v>
      </c>
      <c r="E25" s="4">
        <v>1049.3184024152445</v>
      </c>
      <c r="F25" s="4">
        <v>1051.8225073053366</v>
      </c>
      <c r="G25" s="4">
        <v>273530.63907401328</v>
      </c>
      <c r="H25" s="4">
        <v>257319.41568763118</v>
      </c>
      <c r="I25" s="4">
        <v>2154.7012975249518</v>
      </c>
      <c r="J25" s="4">
        <v>1211.9895902306496</v>
      </c>
      <c r="K25" s="4">
        <v>601.02337264167534</v>
      </c>
      <c r="L25" s="4">
        <v>594.12972502253751</v>
      </c>
      <c r="M25" s="4">
        <v>775.33139599905314</v>
      </c>
      <c r="N25" s="4">
        <v>990.59957696830929</v>
      </c>
      <c r="O25" s="3" t="s">
        <v>34</v>
      </c>
      <c r="P25" s="19">
        <f t="shared" si="1"/>
        <v>1.2119895902306497</v>
      </c>
      <c r="Q25" s="19">
        <f t="shared" si="2"/>
        <v>0.60102337264167538</v>
      </c>
      <c r="R25" s="19">
        <f t="shared" si="3"/>
        <v>0.59412972502253758</v>
      </c>
      <c r="S25" s="19">
        <f t="shared" si="4"/>
        <v>0.77533139599905321</v>
      </c>
      <c r="T25" s="19">
        <f t="shared" si="5"/>
        <v>0.99059957696830936</v>
      </c>
    </row>
    <row r="26" spans="1:20" x14ac:dyDescent="0.2">
      <c r="A26" s="3" t="s">
        <v>35</v>
      </c>
      <c r="B26" s="3" t="s">
        <v>13</v>
      </c>
      <c r="C26" s="4">
        <v>79.387534428072996</v>
      </c>
      <c r="D26" s="4">
        <v>74.59334090587528</v>
      </c>
      <c r="E26" s="4">
        <v>76.442021297899672</v>
      </c>
      <c r="F26" s="4">
        <v>78.710329742509117</v>
      </c>
      <c r="G26" s="4">
        <v>243.41525079618438</v>
      </c>
      <c r="H26" s="4">
        <v>199.10107403864885</v>
      </c>
      <c r="I26" s="4">
        <v>87.001203875143958</v>
      </c>
      <c r="J26" s="4">
        <v>92.071447750680434</v>
      </c>
      <c r="K26" s="4">
        <v>41.038255103341598</v>
      </c>
      <c r="L26" s="4">
        <v>37.185497052035693</v>
      </c>
      <c r="M26" s="4">
        <v>43.407967444918135</v>
      </c>
      <c r="N26" s="4">
        <v>48.056894125866968</v>
      </c>
      <c r="O26" s="3" t="s">
        <v>35</v>
      </c>
      <c r="P26" s="19">
        <f t="shared" si="1"/>
        <v>9.2071447750680435E-2</v>
      </c>
      <c r="Q26" s="19">
        <f t="shared" si="2"/>
        <v>4.1038255103341602E-2</v>
      </c>
      <c r="R26" s="19">
        <f t="shared" si="3"/>
        <v>3.7185497052035693E-2</v>
      </c>
      <c r="S26" s="19">
        <f t="shared" si="4"/>
        <v>4.3407967444918136E-2</v>
      </c>
      <c r="T26" s="19">
        <f t="shared" si="5"/>
        <v>4.8056894125866972E-2</v>
      </c>
    </row>
    <row r="27" spans="1:20" x14ac:dyDescent="0.2">
      <c r="A27" s="3" t="s">
        <v>36</v>
      </c>
      <c r="B27" s="3" t="s">
        <v>13</v>
      </c>
      <c r="C27" s="4">
        <v>64.900375357522364</v>
      </c>
      <c r="D27" s="4">
        <v>64.297218571036211</v>
      </c>
      <c r="E27" s="4">
        <v>73.417033328666051</v>
      </c>
      <c r="F27" s="4">
        <v>74.564112334377015</v>
      </c>
      <c r="G27" s="4">
        <v>96.189508732460894</v>
      </c>
      <c r="H27" s="4">
        <v>99.359489535038733</v>
      </c>
      <c r="I27" s="4">
        <v>54.840783519192918</v>
      </c>
      <c r="J27" s="4">
        <v>120.01931410492172</v>
      </c>
      <c r="K27" s="4">
        <v>75.968973791053003</v>
      </c>
      <c r="L27" s="4">
        <v>62.815664452895341</v>
      </c>
      <c r="M27" s="4">
        <v>97.933146908878555</v>
      </c>
      <c r="N27" s="4">
        <v>69.742879669014798</v>
      </c>
      <c r="O27" s="3" t="s">
        <v>36</v>
      </c>
      <c r="P27" s="19">
        <f t="shared" si="1"/>
        <v>0.12001931410492173</v>
      </c>
      <c r="Q27" s="19">
        <f t="shared" si="2"/>
        <v>7.596897379105301E-2</v>
      </c>
      <c r="R27" s="19">
        <f t="shared" si="3"/>
        <v>6.281566445289534E-2</v>
      </c>
      <c r="S27" s="19">
        <f t="shared" si="4"/>
        <v>9.7933146908878554E-2</v>
      </c>
      <c r="T27" s="19">
        <f t="shared" si="5"/>
        <v>6.9742879669014796E-2</v>
      </c>
    </row>
    <row r="28" spans="1:20" x14ac:dyDescent="0.2">
      <c r="A28" s="3" t="s">
        <v>37</v>
      </c>
      <c r="B28" s="3" t="s">
        <v>13</v>
      </c>
      <c r="C28" s="4">
        <v>1838.9739869849802</v>
      </c>
      <c r="D28" s="4">
        <v>2061.9153553411434</v>
      </c>
      <c r="E28" s="4">
        <v>1085.5006133126842</v>
      </c>
      <c r="F28" s="4">
        <v>1116.1860862712592</v>
      </c>
      <c r="G28" s="4">
        <v>2595.7974909959494</v>
      </c>
      <c r="H28" s="4">
        <v>2323.6220752758677</v>
      </c>
      <c r="I28" s="4">
        <v>7616.6572094671965</v>
      </c>
      <c r="J28" s="4">
        <v>3181.5564210338985</v>
      </c>
      <c r="K28" s="4">
        <v>3253.2477166858653</v>
      </c>
      <c r="L28" s="4">
        <v>3356.6375310586668</v>
      </c>
      <c r="M28" s="4">
        <v>3063.2204553938327</v>
      </c>
      <c r="N28" s="4">
        <v>2862.2102025594913</v>
      </c>
      <c r="O28" s="3" t="s">
        <v>37</v>
      </c>
      <c r="P28" s="19">
        <f t="shared" si="1"/>
        <v>3.1815564210338985</v>
      </c>
      <c r="Q28" s="19">
        <f t="shared" si="2"/>
        <v>3.2532477166858653</v>
      </c>
      <c r="R28" s="19">
        <f t="shared" si="3"/>
        <v>3.3566375310586669</v>
      </c>
      <c r="S28" s="19">
        <f t="shared" si="4"/>
        <v>3.0632204553938327</v>
      </c>
      <c r="T28" s="19">
        <f t="shared" si="5"/>
        <v>2.8622102025594915</v>
      </c>
    </row>
    <row r="29" spans="1:20" x14ac:dyDescent="0.2">
      <c r="A29" s="3" t="s">
        <v>38</v>
      </c>
      <c r="B29" s="3" t="s">
        <v>13</v>
      </c>
      <c r="C29" s="4">
        <v>681.30072256920926</v>
      </c>
      <c r="D29" s="4">
        <v>736.92115462112929</v>
      </c>
      <c r="E29" s="4">
        <v>91.474067628277766</v>
      </c>
      <c r="F29" s="4">
        <v>93.819123706047876</v>
      </c>
      <c r="G29" s="4">
        <v>414.59189487689258</v>
      </c>
      <c r="H29" s="4">
        <v>279.59493034737386</v>
      </c>
      <c r="I29" s="4">
        <v>339.55052281037302</v>
      </c>
      <c r="J29" s="4">
        <v>241.70398270017392</v>
      </c>
      <c r="K29" s="4">
        <v>146.41743730356751</v>
      </c>
      <c r="L29" s="4">
        <v>97.905594957913834</v>
      </c>
      <c r="M29" s="4">
        <v>100.44033696258657</v>
      </c>
      <c r="N29" s="4">
        <v>97.700633280061695</v>
      </c>
      <c r="O29" s="3" t="s">
        <v>38</v>
      </c>
      <c r="P29" s="19">
        <f t="shared" si="1"/>
        <v>0.24170398270017393</v>
      </c>
      <c r="Q29" s="19">
        <f t="shared" si="2"/>
        <v>0.14641743730356752</v>
      </c>
      <c r="R29" s="19">
        <f t="shared" si="3"/>
        <v>9.790559495791383E-2</v>
      </c>
      <c r="S29" s="19">
        <f t="shared" si="4"/>
        <v>0.10044033696258657</v>
      </c>
      <c r="T29" s="19">
        <f t="shared" si="5"/>
        <v>9.7700633280061691E-2</v>
      </c>
    </row>
    <row r="30" spans="1:20" x14ac:dyDescent="0.2">
      <c r="A30" s="3" t="s">
        <v>39</v>
      </c>
      <c r="B30" s="3" t="s">
        <v>13</v>
      </c>
      <c r="C30" s="4">
        <v>879.15542113142851</v>
      </c>
      <c r="D30" s="4">
        <v>897.25750833446136</v>
      </c>
      <c r="E30" s="4">
        <v>925.1457663946403</v>
      </c>
      <c r="F30" s="4">
        <v>928.00927311840451</v>
      </c>
      <c r="G30" s="4">
        <v>1166.4131889080616</v>
      </c>
      <c r="H30" s="4">
        <v>1151.3609327698696</v>
      </c>
      <c r="I30" s="4">
        <v>1166.3301422238314</v>
      </c>
      <c r="J30" s="4">
        <v>726.78408430574348</v>
      </c>
      <c r="K30" s="4">
        <v>1479.922504143904</v>
      </c>
      <c r="L30" s="4">
        <v>1045.5838834291806</v>
      </c>
      <c r="M30" s="4">
        <v>1371.8530662717778</v>
      </c>
      <c r="N30" s="4">
        <v>1357.6082560896241</v>
      </c>
      <c r="O30" s="3" t="s">
        <v>39</v>
      </c>
      <c r="P30" s="19">
        <f t="shared" si="1"/>
        <v>0.72678408430574348</v>
      </c>
      <c r="Q30" s="19">
        <f t="shared" si="2"/>
        <v>1.4799225041439041</v>
      </c>
      <c r="R30" s="19">
        <f t="shared" si="3"/>
        <v>1.0455838834291806</v>
      </c>
      <c r="S30" s="19">
        <f t="shared" si="4"/>
        <v>1.3718530662717778</v>
      </c>
      <c r="T30" s="19">
        <f t="shared" si="5"/>
        <v>1.3576082560896241</v>
      </c>
    </row>
    <row r="31" spans="1:20" x14ac:dyDescent="0.2">
      <c r="A31" s="3" t="s">
        <v>40</v>
      </c>
      <c r="B31" s="3" t="s">
        <v>13</v>
      </c>
      <c r="C31" s="4">
        <v>169679.85344149958</v>
      </c>
      <c r="D31" s="4">
        <v>169680.14773246556</v>
      </c>
      <c r="E31" s="4">
        <v>238703.23511356866</v>
      </c>
      <c r="F31" s="4">
        <v>240326.50216266658</v>
      </c>
      <c r="G31" s="4">
        <v>680992.60303630703</v>
      </c>
      <c r="H31" s="4">
        <v>689427.70149952709</v>
      </c>
      <c r="I31" s="4">
        <v>1359169.4477886152</v>
      </c>
      <c r="J31" s="4">
        <v>835825.71052923601</v>
      </c>
      <c r="K31" s="4">
        <v>1046021.0283466822</v>
      </c>
      <c r="L31" s="4">
        <v>1043945.5854018483</v>
      </c>
      <c r="M31" s="4">
        <v>993689.87968444277</v>
      </c>
      <c r="N31" s="4">
        <v>1064227.0028674568</v>
      </c>
      <c r="O31" s="3" t="s">
        <v>40</v>
      </c>
      <c r="P31" s="24">
        <f t="shared" si="1"/>
        <v>835.82571052923606</v>
      </c>
      <c r="Q31" s="24">
        <f t="shared" si="2"/>
        <v>1046.0210283466822</v>
      </c>
      <c r="R31" s="24">
        <f t="shared" si="3"/>
        <v>1043.9455854018483</v>
      </c>
      <c r="S31" s="24">
        <f t="shared" si="4"/>
        <v>993.68987968444276</v>
      </c>
      <c r="T31" s="24">
        <f t="shared" si="5"/>
        <v>1064.2270028674568</v>
      </c>
    </row>
    <row r="32" spans="1:20" x14ac:dyDescent="0.2">
      <c r="A32" s="3" t="s">
        <v>41</v>
      </c>
      <c r="B32" s="3" t="s">
        <v>13</v>
      </c>
      <c r="C32" s="4">
        <v>169727.14932836461</v>
      </c>
      <c r="D32" s="4">
        <v>169632.47299533928</v>
      </c>
      <c r="E32" s="4">
        <v>238344.16057902714</v>
      </c>
      <c r="F32" s="4">
        <v>239931.74811530713</v>
      </c>
      <c r="G32" s="4">
        <v>680751.03794784483</v>
      </c>
      <c r="H32" s="4">
        <v>689627.67312771187</v>
      </c>
      <c r="I32" s="4">
        <v>1361033.9420703165</v>
      </c>
      <c r="J32" s="4">
        <v>838491.32408613816</v>
      </c>
      <c r="K32" s="4">
        <v>1045279.1523107489</v>
      </c>
      <c r="L32" s="4">
        <v>1046343.299295458</v>
      </c>
      <c r="M32" s="4">
        <v>996506.69884675858</v>
      </c>
      <c r="N32" s="4">
        <v>1068947.1687031928</v>
      </c>
      <c r="O32" s="3" t="s">
        <v>41</v>
      </c>
      <c r="P32" s="24">
        <f t="shared" si="1"/>
        <v>838.49132408613821</v>
      </c>
      <c r="Q32" s="24">
        <f t="shared" si="2"/>
        <v>1045.2791523107489</v>
      </c>
      <c r="R32" s="24">
        <f t="shared" si="3"/>
        <v>1046.3432992954581</v>
      </c>
      <c r="S32" s="24">
        <f t="shared" si="4"/>
        <v>996.50669884675858</v>
      </c>
      <c r="T32" s="24">
        <f t="shared" si="5"/>
        <v>1068.9471687031928</v>
      </c>
    </row>
    <row r="33" spans="1:20" x14ac:dyDescent="0.2">
      <c r="A33" s="3" t="s">
        <v>42</v>
      </c>
      <c r="B33" s="3" t="s">
        <v>13</v>
      </c>
      <c r="C33" s="4">
        <v>10489.732272404473</v>
      </c>
      <c r="D33" s="4">
        <v>10552.476541607452</v>
      </c>
      <c r="E33" s="4">
        <v>8407.2287019749565</v>
      </c>
      <c r="F33" s="4">
        <v>8393.1754908617659</v>
      </c>
      <c r="G33" s="4">
        <v>24964.740259009046</v>
      </c>
      <c r="H33" s="4">
        <v>25306.796834940953</v>
      </c>
      <c r="I33" s="4">
        <v>185391.21416466145</v>
      </c>
      <c r="J33" s="4">
        <v>126546.43397993117</v>
      </c>
      <c r="K33" s="4">
        <v>61669.44302401688</v>
      </c>
      <c r="L33" s="4">
        <v>140696.46596061866</v>
      </c>
      <c r="M33" s="4">
        <v>182646.2615656704</v>
      </c>
      <c r="N33" s="4">
        <v>179803.33104330549</v>
      </c>
      <c r="O33" s="3" t="s">
        <v>42</v>
      </c>
      <c r="P33" s="24">
        <f t="shared" si="1"/>
        <v>126.54643397993118</v>
      </c>
      <c r="Q33" s="24">
        <f t="shared" si="2"/>
        <v>61.669443024016878</v>
      </c>
      <c r="R33" s="24">
        <f t="shared" si="3"/>
        <v>140.69646596061867</v>
      </c>
      <c r="S33" s="24">
        <f t="shared" si="4"/>
        <v>182.64626156567041</v>
      </c>
      <c r="T33" s="24">
        <f t="shared" si="5"/>
        <v>179.80333104330549</v>
      </c>
    </row>
    <row r="34" spans="1:20" x14ac:dyDescent="0.2">
      <c r="A34" s="3" t="s">
        <v>43</v>
      </c>
      <c r="B34" s="3" t="s">
        <v>13</v>
      </c>
      <c r="C34" s="4">
        <v>23147.228207263543</v>
      </c>
      <c r="D34" s="4">
        <v>23286.162366406195</v>
      </c>
      <c r="E34" s="4">
        <v>21267.919436805205</v>
      </c>
      <c r="F34" s="4">
        <v>21318.801676589101</v>
      </c>
      <c r="G34" s="4">
        <v>53076.70611484976</v>
      </c>
      <c r="H34" s="4">
        <v>53825.340872563596</v>
      </c>
      <c r="I34" s="4">
        <v>443515.46754332341</v>
      </c>
      <c r="J34" s="4">
        <v>220916.30620596278</v>
      </c>
      <c r="K34" s="4">
        <v>148526.28686994978</v>
      </c>
      <c r="L34" s="4">
        <v>301179.04738959216</v>
      </c>
      <c r="M34" s="4">
        <v>397408.04659221845</v>
      </c>
      <c r="N34" s="4">
        <v>378431.46582693351</v>
      </c>
      <c r="O34" s="3" t="s">
        <v>43</v>
      </c>
      <c r="P34" s="24">
        <f t="shared" si="1"/>
        <v>220.9163062059628</v>
      </c>
      <c r="Q34" s="24">
        <f t="shared" si="2"/>
        <v>148.52628686994979</v>
      </c>
      <c r="R34" s="24">
        <f t="shared" si="3"/>
        <v>301.17904738959214</v>
      </c>
      <c r="S34" s="24">
        <f t="shared" si="4"/>
        <v>397.40804659221845</v>
      </c>
      <c r="T34" s="24">
        <f t="shared" si="5"/>
        <v>378.4314658269335</v>
      </c>
    </row>
    <row r="35" spans="1:20" x14ac:dyDescent="0.2">
      <c r="A35" s="3" t="s">
        <v>44</v>
      </c>
      <c r="B35" s="3" t="s">
        <v>13</v>
      </c>
      <c r="C35" s="4">
        <v>3023.1250323917329</v>
      </c>
      <c r="D35" s="4">
        <v>3027.7495666558489</v>
      </c>
      <c r="E35" s="4">
        <v>3257.6911075458797</v>
      </c>
      <c r="F35" s="4">
        <v>3259.9677068745759</v>
      </c>
      <c r="G35" s="4">
        <v>6870.9797527002711</v>
      </c>
      <c r="H35" s="4">
        <v>6978.9964733177503</v>
      </c>
      <c r="I35" s="4">
        <v>56391.543784496927</v>
      </c>
      <c r="J35" s="4">
        <v>28625.387251879481</v>
      </c>
      <c r="K35" s="4">
        <v>16978.840160936725</v>
      </c>
      <c r="L35" s="4">
        <v>33130.077578121192</v>
      </c>
      <c r="M35" s="4">
        <v>43034.882712814324</v>
      </c>
      <c r="N35" s="4">
        <v>40655.434243992386</v>
      </c>
      <c r="O35" s="3" t="s">
        <v>44</v>
      </c>
      <c r="P35" s="19">
        <f t="shared" si="1"/>
        <v>28.625387251879481</v>
      </c>
      <c r="Q35" s="19">
        <f t="shared" si="2"/>
        <v>16.978840160936723</v>
      </c>
      <c r="R35" s="19">
        <f t="shared" si="3"/>
        <v>33.130077578121195</v>
      </c>
      <c r="S35" s="19">
        <f t="shared" si="4"/>
        <v>43.034882712814323</v>
      </c>
      <c r="T35" s="19">
        <f t="shared" si="5"/>
        <v>40.655434243992389</v>
      </c>
    </row>
    <row r="36" spans="1:20" x14ac:dyDescent="0.2">
      <c r="A36" s="3" t="s">
        <v>45</v>
      </c>
      <c r="B36" s="3" t="s">
        <v>13</v>
      </c>
      <c r="C36" s="4">
        <v>12898.245910904212</v>
      </c>
      <c r="D36" s="4">
        <v>12923.902387304259</v>
      </c>
      <c r="E36" s="4">
        <v>15596.345250947952</v>
      </c>
      <c r="F36" s="4">
        <v>15620.3668538161</v>
      </c>
      <c r="G36" s="4">
        <v>28612.582925164192</v>
      </c>
      <c r="H36" s="4">
        <v>28917.237609020456</v>
      </c>
      <c r="I36" s="4">
        <v>205622.74210294388</v>
      </c>
      <c r="J36" s="4">
        <v>105670.74114240383</v>
      </c>
      <c r="K36" s="4">
        <v>65865.010294104533</v>
      </c>
      <c r="L36" s="4">
        <v>115727.82335224256</v>
      </c>
      <c r="M36" s="4">
        <v>151972.28643995812</v>
      </c>
      <c r="N36" s="4">
        <v>140737.07834898867</v>
      </c>
      <c r="O36" s="3" t="s">
        <v>45</v>
      </c>
      <c r="P36" s="19">
        <f t="shared" si="1"/>
        <v>105.67074114240383</v>
      </c>
      <c r="Q36" s="19">
        <f t="shared" si="2"/>
        <v>65.865010294104536</v>
      </c>
      <c r="R36" s="19">
        <f t="shared" si="3"/>
        <v>115.72782335224257</v>
      </c>
      <c r="S36" s="19">
        <f t="shared" si="4"/>
        <v>151.97228643995811</v>
      </c>
      <c r="T36" s="19">
        <f t="shared" si="5"/>
        <v>140.73707834898866</v>
      </c>
    </row>
    <row r="37" spans="1:20" x14ac:dyDescent="0.2">
      <c r="A37" s="3" t="s">
        <v>46</v>
      </c>
      <c r="B37" s="3" t="s">
        <v>13</v>
      </c>
      <c r="C37" s="4">
        <v>3264.6770104180932</v>
      </c>
      <c r="D37" s="4">
        <v>3267.6788570543099</v>
      </c>
      <c r="E37" s="4">
        <v>4166.4066123548091</v>
      </c>
      <c r="F37" s="4">
        <v>4168.363760719757</v>
      </c>
      <c r="G37" s="4">
        <v>6486.2395800615768</v>
      </c>
      <c r="H37" s="4">
        <v>6596.0305926982192</v>
      </c>
      <c r="I37" s="4">
        <v>25860.277257150348</v>
      </c>
      <c r="J37" s="4">
        <v>21117.183221362786</v>
      </c>
      <c r="K37" s="4">
        <v>13186.031769507465</v>
      </c>
      <c r="L37" s="4">
        <v>20104.868110248819</v>
      </c>
      <c r="M37" s="4">
        <v>25386.742961221396</v>
      </c>
      <c r="N37" s="4">
        <v>22641.986249658861</v>
      </c>
      <c r="O37" s="3" t="s">
        <v>46</v>
      </c>
      <c r="P37" s="19">
        <f t="shared" si="1"/>
        <v>21.117183221362787</v>
      </c>
      <c r="Q37" s="19">
        <f t="shared" si="2"/>
        <v>13.186031769507466</v>
      </c>
      <c r="R37" s="19">
        <f t="shared" si="3"/>
        <v>20.10486811024882</v>
      </c>
      <c r="S37" s="19">
        <f t="shared" si="4"/>
        <v>25.386742961221398</v>
      </c>
      <c r="T37" s="19">
        <f t="shared" si="5"/>
        <v>22.64198624965886</v>
      </c>
    </row>
    <row r="38" spans="1:20" x14ac:dyDescent="0.2">
      <c r="A38" s="3" t="s">
        <v>47</v>
      </c>
      <c r="B38" s="3" t="s">
        <v>13</v>
      </c>
      <c r="C38" s="4">
        <v>1091.0062222425233</v>
      </c>
      <c r="D38" s="4">
        <v>1096.3928906578017</v>
      </c>
      <c r="E38" s="4">
        <v>1308.2853489176982</v>
      </c>
      <c r="F38" s="4">
        <v>1312.8033464907521</v>
      </c>
      <c r="G38" s="4">
        <v>1941.4685564348092</v>
      </c>
      <c r="H38" s="4">
        <v>1970.9315037224706</v>
      </c>
      <c r="I38" s="4">
        <v>2221.7921256917648</v>
      </c>
      <c r="J38" s="4">
        <v>2383.5657360445957</v>
      </c>
      <c r="K38" s="4">
        <v>2330.81343510837</v>
      </c>
      <c r="L38" s="4">
        <v>2492.0788497917288</v>
      </c>
      <c r="M38" s="4">
        <v>2909.2509113371043</v>
      </c>
      <c r="N38" s="4">
        <v>2882.3508656331082</v>
      </c>
      <c r="O38" s="3" t="s">
        <v>47</v>
      </c>
      <c r="P38" s="19">
        <f t="shared" si="1"/>
        <v>2.3835657360445959</v>
      </c>
      <c r="Q38" s="19">
        <f t="shared" si="2"/>
        <v>2.3308134351083698</v>
      </c>
      <c r="R38" s="19">
        <f t="shared" si="3"/>
        <v>2.4920788497917288</v>
      </c>
      <c r="S38" s="19">
        <f t="shared" si="4"/>
        <v>2.9092509113371046</v>
      </c>
      <c r="T38" s="19">
        <f t="shared" si="5"/>
        <v>2.8823508656331085</v>
      </c>
    </row>
    <row r="39" spans="1:20" x14ac:dyDescent="0.2">
      <c r="A39" s="3" t="s">
        <v>49</v>
      </c>
      <c r="B39" s="3" t="s">
        <v>13</v>
      </c>
      <c r="C39" s="4">
        <v>3709.0175610839874</v>
      </c>
      <c r="D39" s="4">
        <v>3707.3085081298382</v>
      </c>
      <c r="E39" s="4">
        <v>4654.9913542694485</v>
      </c>
      <c r="F39" s="4">
        <v>4629.9187302842411</v>
      </c>
      <c r="G39" s="4">
        <v>6724.1002494192908</v>
      </c>
      <c r="H39" s="4">
        <v>6804.8912241194994</v>
      </c>
      <c r="I39" s="4">
        <v>11907.251114665938</v>
      </c>
      <c r="J39" s="4">
        <v>19723.929006019051</v>
      </c>
      <c r="K39" s="4">
        <v>11390.734521919467</v>
      </c>
      <c r="L39" s="4">
        <v>15016.899191890825</v>
      </c>
      <c r="M39" s="4">
        <v>18479.341580658995</v>
      </c>
      <c r="N39" s="4">
        <v>15991.033346022306</v>
      </c>
      <c r="O39" s="3" t="s">
        <v>49</v>
      </c>
      <c r="P39" s="19">
        <f t="shared" si="1"/>
        <v>19.723929006019052</v>
      </c>
      <c r="Q39" s="19">
        <f t="shared" si="2"/>
        <v>11.390734521919468</v>
      </c>
      <c r="R39" s="19">
        <f t="shared" si="3"/>
        <v>15.016899191890825</v>
      </c>
      <c r="S39" s="19">
        <f t="shared" si="4"/>
        <v>18.479341580658996</v>
      </c>
      <c r="T39" s="19">
        <f t="shared" si="5"/>
        <v>15.991033346022308</v>
      </c>
    </row>
    <row r="40" spans="1:20" x14ac:dyDescent="0.2">
      <c r="A40" s="3" t="s">
        <v>48</v>
      </c>
      <c r="B40" s="3" t="s">
        <v>13</v>
      </c>
      <c r="C40" s="4">
        <v>614.49664617362532</v>
      </c>
      <c r="D40" s="4">
        <v>615.76673688905794</v>
      </c>
      <c r="E40" s="4">
        <v>740.77802556477707</v>
      </c>
      <c r="F40" s="4">
        <v>738.56897292501651</v>
      </c>
      <c r="G40" s="4">
        <v>1043.7031782256156</v>
      </c>
      <c r="H40" s="4">
        <v>1060.224728198916</v>
      </c>
      <c r="I40" s="4">
        <v>1253.7825995774363</v>
      </c>
      <c r="J40" s="4">
        <v>3064.9853412975258</v>
      </c>
      <c r="K40" s="4">
        <v>1646.1759309784482</v>
      </c>
      <c r="L40" s="4">
        <v>2209.532511372603</v>
      </c>
      <c r="M40" s="4">
        <v>2551.6798815911602</v>
      </c>
      <c r="N40" s="4">
        <v>2149.5596374522752</v>
      </c>
      <c r="O40" s="3" t="s">
        <v>48</v>
      </c>
      <c r="P40" s="19">
        <f t="shared" si="1"/>
        <v>3.0649853412975259</v>
      </c>
      <c r="Q40" s="19">
        <f t="shared" si="2"/>
        <v>1.6461759309784483</v>
      </c>
      <c r="R40" s="19">
        <f t="shared" si="3"/>
        <v>2.2095325113726032</v>
      </c>
      <c r="S40" s="19">
        <f t="shared" si="4"/>
        <v>2.5516798815911601</v>
      </c>
      <c r="T40" s="19">
        <f t="shared" si="5"/>
        <v>2.1495596374522754</v>
      </c>
    </row>
    <row r="41" spans="1:20" x14ac:dyDescent="0.2">
      <c r="A41" s="3" t="s">
        <v>50</v>
      </c>
      <c r="B41" s="3" t="s">
        <v>13</v>
      </c>
      <c r="C41" s="4">
        <v>3819.3343226497395</v>
      </c>
      <c r="D41" s="4">
        <v>3796.477223324956</v>
      </c>
      <c r="E41" s="4">
        <v>4533.8752841661581</v>
      </c>
      <c r="F41" s="4">
        <v>4518.7129860841023</v>
      </c>
      <c r="G41" s="4">
        <v>6285.5644983125349</v>
      </c>
      <c r="H41" s="4">
        <v>6389.9815270899435</v>
      </c>
      <c r="I41" s="4">
        <v>5649.6978419516454</v>
      </c>
      <c r="J41" s="4">
        <v>17963.194381847206</v>
      </c>
      <c r="K41" s="4">
        <v>8868.1898125986572</v>
      </c>
      <c r="L41" s="4">
        <v>12378.869062663574</v>
      </c>
      <c r="M41" s="4">
        <v>13501.211244915004</v>
      </c>
      <c r="N41" s="4">
        <v>11188.544283641786</v>
      </c>
      <c r="O41" s="3" t="s">
        <v>50</v>
      </c>
      <c r="P41" s="19">
        <f t="shared" si="1"/>
        <v>17.963194381847206</v>
      </c>
      <c r="Q41" s="19">
        <f t="shared" si="2"/>
        <v>8.8681898125986578</v>
      </c>
      <c r="R41" s="19">
        <f t="shared" si="3"/>
        <v>12.378869062663574</v>
      </c>
      <c r="S41" s="19">
        <f t="shared" si="4"/>
        <v>13.501211244915005</v>
      </c>
      <c r="T41" s="19">
        <f t="shared" si="5"/>
        <v>11.188544283641786</v>
      </c>
    </row>
    <row r="42" spans="1:20" x14ac:dyDescent="0.2">
      <c r="A42" s="3" t="s">
        <v>51</v>
      </c>
      <c r="B42" s="3" t="s">
        <v>13</v>
      </c>
      <c r="C42" s="4">
        <v>804.9043542333942</v>
      </c>
      <c r="D42" s="4">
        <v>801.65891372077192</v>
      </c>
      <c r="E42" s="4">
        <v>956.27318960328864</v>
      </c>
      <c r="F42" s="4">
        <v>953.440582495434</v>
      </c>
      <c r="G42" s="4">
        <v>1315.8902362948836</v>
      </c>
      <c r="H42" s="4">
        <v>1334.3763771290351</v>
      </c>
      <c r="I42" s="4">
        <v>966.8040490180357</v>
      </c>
      <c r="J42" s="4">
        <v>3650.8765686978782</v>
      </c>
      <c r="K42" s="4">
        <v>1682.1774118164524</v>
      </c>
      <c r="L42" s="4">
        <v>2415.4471459797946</v>
      </c>
      <c r="M42" s="4">
        <v>2501.7038150645367</v>
      </c>
      <c r="N42" s="4">
        <v>2059.2870400478573</v>
      </c>
      <c r="O42" s="3" t="s">
        <v>51</v>
      </c>
      <c r="P42" s="19">
        <f t="shared" si="1"/>
        <v>3.6508765686978784</v>
      </c>
      <c r="Q42" s="19">
        <f t="shared" si="2"/>
        <v>1.6821774118164523</v>
      </c>
      <c r="R42" s="19">
        <f t="shared" si="3"/>
        <v>2.4154471459797948</v>
      </c>
      <c r="S42" s="19">
        <f t="shared" si="4"/>
        <v>2.5017038150645368</v>
      </c>
      <c r="T42" s="19">
        <f t="shared" si="5"/>
        <v>2.0592870400478573</v>
      </c>
    </row>
    <row r="43" spans="1:20" x14ac:dyDescent="0.2">
      <c r="A43" s="3" t="s">
        <v>52</v>
      </c>
      <c r="B43" s="3" t="s">
        <v>13</v>
      </c>
      <c r="C43" s="4">
        <v>2223.3064019575008</v>
      </c>
      <c r="D43" s="4">
        <v>2220.715255432101</v>
      </c>
      <c r="E43" s="4">
        <v>2670.4410265293573</v>
      </c>
      <c r="F43" s="4">
        <v>2661.7310540026083</v>
      </c>
      <c r="G43" s="4">
        <v>3614.0098258913445</v>
      </c>
      <c r="H43" s="4">
        <v>3665.6837408455954</v>
      </c>
      <c r="I43" s="4">
        <v>2297.6021969993781</v>
      </c>
      <c r="J43" s="4">
        <v>9831.1421639586988</v>
      </c>
      <c r="K43" s="4">
        <v>4217.4062193777063</v>
      </c>
      <c r="L43" s="4">
        <v>6340.5654005753859</v>
      </c>
      <c r="M43" s="4">
        <v>6032.2954186429251</v>
      </c>
      <c r="N43" s="4">
        <v>5056.951815235192</v>
      </c>
      <c r="O43" s="3" t="s">
        <v>52</v>
      </c>
      <c r="P43" s="19">
        <f t="shared" si="1"/>
        <v>9.8311421639586989</v>
      </c>
      <c r="Q43" s="19">
        <f t="shared" si="2"/>
        <v>4.2174062193777067</v>
      </c>
      <c r="R43" s="19">
        <f t="shared" si="3"/>
        <v>6.340565400575386</v>
      </c>
      <c r="S43" s="19">
        <f t="shared" si="4"/>
        <v>6.0322954186429252</v>
      </c>
      <c r="T43" s="19">
        <f t="shared" si="5"/>
        <v>5.056951815235192</v>
      </c>
    </row>
    <row r="44" spans="1:20" x14ac:dyDescent="0.2">
      <c r="A44" s="3" t="s">
        <v>53</v>
      </c>
      <c r="B44" s="3" t="s">
        <v>13</v>
      </c>
      <c r="C44" s="4">
        <v>327.4827581209064</v>
      </c>
      <c r="D44" s="4">
        <v>326.83697988524386</v>
      </c>
      <c r="E44" s="4">
        <v>392.09356481250808</v>
      </c>
      <c r="F44" s="4">
        <v>391.26113383191779</v>
      </c>
      <c r="G44" s="4">
        <v>527.91640241530365</v>
      </c>
      <c r="H44" s="4">
        <v>541.03685693986756</v>
      </c>
      <c r="I44" s="4">
        <v>293.06396352903471</v>
      </c>
      <c r="J44" s="4">
        <v>1443.7419395452785</v>
      </c>
      <c r="K44" s="4">
        <v>567.91580463175205</v>
      </c>
      <c r="L44" s="4">
        <v>889.20874998224303</v>
      </c>
      <c r="M44" s="4">
        <v>744.99775032129537</v>
      </c>
      <c r="N44" s="4">
        <v>666.73241555387585</v>
      </c>
      <c r="O44" s="3" t="s">
        <v>53</v>
      </c>
      <c r="P44" s="19">
        <f t="shared" si="1"/>
        <v>1.4437419395452784</v>
      </c>
      <c r="Q44" s="19">
        <f t="shared" si="2"/>
        <v>0.56791580463175206</v>
      </c>
      <c r="R44" s="19">
        <f t="shared" si="3"/>
        <v>0.88920874998224309</v>
      </c>
      <c r="S44" s="19">
        <f t="shared" si="4"/>
        <v>0.74499775032129534</v>
      </c>
      <c r="T44" s="19">
        <f t="shared" si="5"/>
        <v>0.66673241555387586</v>
      </c>
    </row>
    <row r="45" spans="1:20" x14ac:dyDescent="0.2">
      <c r="A45" s="3" t="s">
        <v>54</v>
      </c>
      <c r="B45" s="3" t="s">
        <v>13</v>
      </c>
      <c r="C45" s="4">
        <v>2057.1871713355945</v>
      </c>
      <c r="D45" s="4">
        <v>2059.1964647136092</v>
      </c>
      <c r="E45" s="4">
        <v>2510.5997017846985</v>
      </c>
      <c r="F45" s="4">
        <v>2491.4307796080279</v>
      </c>
      <c r="G45" s="4">
        <v>3358.0007270171277</v>
      </c>
      <c r="H45" s="4">
        <v>3415.1409754855076</v>
      </c>
      <c r="I45" s="4">
        <v>1654.3473234448961</v>
      </c>
      <c r="J45" s="4">
        <v>9000.3642481379393</v>
      </c>
      <c r="K45" s="4">
        <v>3272.2984454668599</v>
      </c>
      <c r="L45" s="4">
        <v>5217.2901234266728</v>
      </c>
      <c r="M45" s="4">
        <v>3927.8682430121166</v>
      </c>
      <c r="N45" s="4">
        <v>3704.4101424739042</v>
      </c>
      <c r="O45" s="3" t="s">
        <v>54</v>
      </c>
      <c r="P45" s="19">
        <f t="shared" si="1"/>
        <v>9.0003642481379398</v>
      </c>
      <c r="Q45" s="19">
        <f t="shared" si="2"/>
        <v>3.27229844546686</v>
      </c>
      <c r="R45" s="19">
        <f t="shared" si="3"/>
        <v>5.2172901234266726</v>
      </c>
      <c r="S45" s="19">
        <f t="shared" si="4"/>
        <v>3.9278682430121168</v>
      </c>
      <c r="T45" s="19">
        <f t="shared" si="5"/>
        <v>3.7044101424739044</v>
      </c>
    </row>
    <row r="46" spans="1:20" x14ac:dyDescent="0.2">
      <c r="A46" s="3" t="s">
        <v>55</v>
      </c>
      <c r="B46" s="3" t="s">
        <v>13</v>
      </c>
      <c r="C46" s="4">
        <v>302.32413206373286</v>
      </c>
      <c r="D46" s="4">
        <v>300.26808020824359</v>
      </c>
      <c r="E46" s="4">
        <v>373.29645311232861</v>
      </c>
      <c r="F46" s="4">
        <v>370.879487643554</v>
      </c>
      <c r="G46" s="4">
        <v>494.96224669445479</v>
      </c>
      <c r="H46" s="4">
        <v>504.44942958252142</v>
      </c>
      <c r="I46" s="4">
        <v>230.96617317469085</v>
      </c>
      <c r="J46" s="4">
        <v>1281.8253132421512</v>
      </c>
      <c r="K46" s="4">
        <v>445.17359901554624</v>
      </c>
      <c r="L46" s="4">
        <v>705.18441586419283</v>
      </c>
      <c r="M46" s="4">
        <v>495.7106999376029</v>
      </c>
      <c r="N46" s="4">
        <v>505.25381151947715</v>
      </c>
      <c r="O46" s="3" t="s">
        <v>55</v>
      </c>
      <c r="P46" s="19">
        <f t="shared" si="1"/>
        <v>1.2818253132421513</v>
      </c>
      <c r="Q46" s="19">
        <f t="shared" si="2"/>
        <v>0.44517359901554626</v>
      </c>
      <c r="R46" s="19">
        <f t="shared" si="3"/>
        <v>0.70518441586419289</v>
      </c>
      <c r="S46" s="19">
        <f t="shared" si="4"/>
        <v>0.49571069993760292</v>
      </c>
      <c r="T46" s="19">
        <f t="shared" si="5"/>
        <v>0.50525381151947713</v>
      </c>
    </row>
    <row r="47" spans="1:20" x14ac:dyDescent="0.2">
      <c r="A47" s="3" t="s">
        <v>56</v>
      </c>
      <c r="B47" s="3" t="s">
        <v>13</v>
      </c>
      <c r="C47" s="4">
        <v>2359.5050342626942</v>
      </c>
      <c r="D47" s="4">
        <v>2353.0214928759447</v>
      </c>
      <c r="E47" s="4">
        <v>2664.3653745586389</v>
      </c>
      <c r="F47" s="4">
        <v>2648.5133483047439</v>
      </c>
      <c r="G47" s="4">
        <v>4788.0008499139358</v>
      </c>
      <c r="H47" s="4">
        <v>4878.1251329936904</v>
      </c>
      <c r="I47" s="4">
        <v>14708.699884422162</v>
      </c>
      <c r="J47" s="4">
        <v>8949.1015638331173</v>
      </c>
      <c r="K47" s="4">
        <v>7775.3851013910962</v>
      </c>
      <c r="L47" s="4">
        <v>13643.47066983241</v>
      </c>
      <c r="M47" s="4">
        <v>7618.3203351261091</v>
      </c>
      <c r="N47" s="4">
        <v>9306.957966161779</v>
      </c>
      <c r="O47" s="3" t="s">
        <v>56</v>
      </c>
      <c r="P47" s="19">
        <f t="shared" si="1"/>
        <v>8.9491015638331177</v>
      </c>
      <c r="Q47" s="19">
        <f t="shared" si="2"/>
        <v>7.7753851013910964</v>
      </c>
      <c r="R47" s="19">
        <f t="shared" si="3"/>
        <v>13.643470669832411</v>
      </c>
      <c r="S47" s="19">
        <f t="shared" si="4"/>
        <v>7.6183203351261088</v>
      </c>
      <c r="T47" s="19">
        <f t="shared" si="5"/>
        <v>9.3069579661617787</v>
      </c>
    </row>
    <row r="48" spans="1:20" x14ac:dyDescent="0.2">
      <c r="A48" s="3" t="s">
        <v>57</v>
      </c>
      <c r="B48" s="3" t="s">
        <v>13</v>
      </c>
      <c r="C48" s="4">
        <v>454.94999801084487</v>
      </c>
      <c r="D48" s="4">
        <v>453.37475593623793</v>
      </c>
      <c r="E48" s="4">
        <v>127.22503527324224</v>
      </c>
      <c r="F48" s="4">
        <v>126.25423292167523</v>
      </c>
      <c r="G48" s="4">
        <v>763.26331561310678</v>
      </c>
      <c r="H48" s="4">
        <v>777.68019495131932</v>
      </c>
      <c r="I48" s="4">
        <v>850.62609948636157</v>
      </c>
      <c r="J48" s="4">
        <v>1638.431065425179</v>
      </c>
      <c r="K48" s="4">
        <v>1552.4520127039564</v>
      </c>
      <c r="L48" s="4">
        <v>2239.255212870683</v>
      </c>
      <c r="M48" s="4">
        <v>2568.7574632753854</v>
      </c>
      <c r="N48" s="4">
        <v>1746.1091919699168</v>
      </c>
      <c r="O48" s="3" t="s">
        <v>57</v>
      </c>
      <c r="P48" s="19">
        <f t="shared" si="1"/>
        <v>1.638431065425179</v>
      </c>
      <c r="Q48" s="19">
        <f t="shared" si="2"/>
        <v>1.5524520127039565</v>
      </c>
      <c r="R48" s="19">
        <f t="shared" si="3"/>
        <v>2.2392552128706829</v>
      </c>
      <c r="S48" s="19">
        <f t="shared" si="4"/>
        <v>2.5687574632753853</v>
      </c>
      <c r="T48" s="19">
        <f t="shared" si="5"/>
        <v>1.7461091919699168</v>
      </c>
    </row>
    <row r="49" spans="1:38" x14ac:dyDescent="0.2">
      <c r="A49" s="3" t="s">
        <v>58</v>
      </c>
      <c r="B49" s="3" t="s">
        <v>13</v>
      </c>
      <c r="C49" s="4">
        <v>240.80794638553641</v>
      </c>
      <c r="D49" s="4">
        <v>239.18558178954265</v>
      </c>
      <c r="E49" s="4">
        <v>1225.3481153984349</v>
      </c>
      <c r="F49" s="4">
        <v>1229.9532219327452</v>
      </c>
      <c r="G49" s="4">
        <v>432.95895276100782</v>
      </c>
      <c r="H49" s="4">
        <v>440.13741721345889</v>
      </c>
      <c r="I49" s="4">
        <v>332.86447451868156</v>
      </c>
      <c r="J49" s="4">
        <v>396.69988288387088</v>
      </c>
      <c r="K49" s="4">
        <v>325.42921338465175</v>
      </c>
      <c r="L49" s="4">
        <v>210.73891460881705</v>
      </c>
      <c r="M49" s="4">
        <v>135.11662679750407</v>
      </c>
      <c r="N49" s="4">
        <v>194.35059386774878</v>
      </c>
      <c r="O49" s="3" t="s">
        <v>58</v>
      </c>
      <c r="P49" s="19">
        <f t="shared" si="1"/>
        <v>0.39669988288387087</v>
      </c>
      <c r="Q49" s="19">
        <f t="shared" si="2"/>
        <v>0.32542921338465175</v>
      </c>
      <c r="R49" s="19">
        <f t="shared" si="3"/>
        <v>0.21073891460881705</v>
      </c>
      <c r="S49" s="19">
        <f t="shared" si="4"/>
        <v>0.13511662679750408</v>
      </c>
      <c r="T49" s="19">
        <f t="shared" si="5"/>
        <v>0.19435059386774878</v>
      </c>
    </row>
    <row r="50" spans="1:38" x14ac:dyDescent="0.2">
      <c r="A50" s="3" t="s">
        <v>59</v>
      </c>
      <c r="B50" s="3" t="s">
        <v>13</v>
      </c>
      <c r="C50" s="4">
        <v>89.967892778976633</v>
      </c>
      <c r="D50" s="4">
        <v>90.032364406793221</v>
      </c>
      <c r="E50" s="4">
        <v>44.819375836916947</v>
      </c>
      <c r="F50" s="4">
        <v>44.59600550130363</v>
      </c>
      <c r="G50" s="4">
        <v>256.7032986077586</v>
      </c>
      <c r="H50" s="4">
        <v>232.7442232248458</v>
      </c>
      <c r="I50" s="4">
        <v>1298.8150883864125</v>
      </c>
      <c r="J50" s="4">
        <v>823.869640063882</v>
      </c>
      <c r="K50" s="4">
        <v>978.68407459636762</v>
      </c>
      <c r="L50" s="4">
        <v>1389.4155135894707</v>
      </c>
      <c r="M50" s="4">
        <v>989.23976810845102</v>
      </c>
      <c r="N50" s="4">
        <v>1131.588295479206</v>
      </c>
      <c r="O50" s="3" t="s">
        <v>59</v>
      </c>
      <c r="P50" s="19">
        <f t="shared" si="1"/>
        <v>0.82386964006388197</v>
      </c>
      <c r="Q50" s="19">
        <f t="shared" si="2"/>
        <v>0.97868407459636764</v>
      </c>
      <c r="R50" s="19">
        <f t="shared" si="3"/>
        <v>1.3894155135894708</v>
      </c>
      <c r="S50" s="19">
        <f t="shared" si="4"/>
        <v>0.98923976810845105</v>
      </c>
      <c r="T50" s="19">
        <f t="shared" si="5"/>
        <v>1.131588295479206</v>
      </c>
    </row>
    <row r="51" spans="1:38" x14ac:dyDescent="0.2">
      <c r="A51" s="3" t="s">
        <v>63</v>
      </c>
      <c r="B51" s="3" t="s">
        <v>13</v>
      </c>
      <c r="C51" s="4">
        <v>7394.4212001722344</v>
      </c>
      <c r="D51" s="4">
        <v>7661.6926294845443</v>
      </c>
      <c r="E51" s="4">
        <v>5004.6501830381585</v>
      </c>
      <c r="F51" s="4">
        <v>4938.9287112159027</v>
      </c>
      <c r="G51" s="4">
        <v>11448.757277255805</v>
      </c>
      <c r="H51" s="4">
        <v>10365.466574301212</v>
      </c>
      <c r="I51" s="4">
        <v>42614.0004221442</v>
      </c>
      <c r="J51" s="4">
        <v>44544.188430804345</v>
      </c>
      <c r="K51" s="4">
        <v>34369.112276801679</v>
      </c>
      <c r="L51" s="4">
        <v>50983.959323104449</v>
      </c>
      <c r="M51" s="4">
        <v>29021.786548599604</v>
      </c>
      <c r="N51" s="4">
        <v>47757.82354960269</v>
      </c>
      <c r="O51" s="3" t="s">
        <v>63</v>
      </c>
      <c r="P51" s="19">
        <f t="shared" si="1"/>
        <v>44.544188430804347</v>
      </c>
      <c r="Q51" s="19">
        <f t="shared" si="2"/>
        <v>34.36911227680168</v>
      </c>
      <c r="R51" s="19">
        <f t="shared" si="3"/>
        <v>50.98395932310445</v>
      </c>
      <c r="S51" s="19">
        <f t="shared" si="4"/>
        <v>29.021786548599604</v>
      </c>
      <c r="T51" s="19">
        <f t="shared" si="5"/>
        <v>47.757823549602691</v>
      </c>
    </row>
    <row r="52" spans="1:38" x14ac:dyDescent="0.2">
      <c r="A52" s="3" t="s">
        <v>60</v>
      </c>
      <c r="B52" s="3" t="s">
        <v>13</v>
      </c>
      <c r="C52" s="4">
        <v>23.961153689817824</v>
      </c>
      <c r="D52" s="4">
        <v>24.039157477510631</v>
      </c>
      <c r="E52" s="4">
        <v>14.968532446043431</v>
      </c>
      <c r="F52" s="4">
        <v>14.226689390326184</v>
      </c>
      <c r="G52" s="4">
        <v>54.509502803289678</v>
      </c>
      <c r="H52" s="4">
        <v>45.65410327041311</v>
      </c>
      <c r="I52" s="4">
        <v>29.214594303480407</v>
      </c>
      <c r="J52" s="4">
        <v>14.47052840518341</v>
      </c>
      <c r="K52" s="4">
        <v>13.745721004443945</v>
      </c>
      <c r="L52" s="4">
        <v>5.6073069171846059</v>
      </c>
      <c r="M52" s="4">
        <v>8.9530974254883908</v>
      </c>
      <c r="N52" s="4">
        <v>10.38631997103516</v>
      </c>
      <c r="O52" s="3" t="s">
        <v>60</v>
      </c>
      <c r="P52" s="19">
        <f t="shared" si="1"/>
        <v>1.4470528405183411E-2</v>
      </c>
      <c r="Q52" s="19">
        <f t="shared" si="2"/>
        <v>1.3745721004443946E-2</v>
      </c>
      <c r="R52" s="19">
        <f t="shared" si="3"/>
        <v>5.6073069171846063E-3</v>
      </c>
      <c r="S52" s="19">
        <f t="shared" si="4"/>
        <v>8.9530974254883912E-3</v>
      </c>
      <c r="T52" s="19">
        <f t="shared" si="5"/>
        <v>1.038631997103516E-2</v>
      </c>
    </row>
    <row r="53" spans="1:38" x14ac:dyDescent="0.2">
      <c r="A53" s="3" t="s">
        <v>61</v>
      </c>
      <c r="B53" s="3" t="s">
        <v>13</v>
      </c>
      <c r="C53" s="4">
        <v>2156.682331528646</v>
      </c>
      <c r="D53" s="4">
        <v>2144.1938882586928</v>
      </c>
      <c r="E53" s="4">
        <v>1284.1255105693442</v>
      </c>
      <c r="F53" s="4">
        <v>1273.9729562062823</v>
      </c>
      <c r="G53" s="4">
        <v>5855.065810388679</v>
      </c>
      <c r="H53" s="4">
        <v>5947.9285318289812</v>
      </c>
      <c r="I53" s="4">
        <v>107326.79925515459</v>
      </c>
      <c r="J53" s="4">
        <v>32300.676700987187</v>
      </c>
      <c r="K53" s="4">
        <v>8736.1834578410417</v>
      </c>
      <c r="L53" s="4">
        <v>62724.966790286155</v>
      </c>
      <c r="M53" s="4">
        <v>71470.004911215714</v>
      </c>
      <c r="N53" s="4">
        <v>123555.56970241389</v>
      </c>
      <c r="O53" s="3" t="s">
        <v>61</v>
      </c>
      <c r="P53" s="19">
        <f t="shared" si="1"/>
        <v>32.300676700987189</v>
      </c>
      <c r="Q53" s="19">
        <f t="shared" si="2"/>
        <v>8.736183457841042</v>
      </c>
      <c r="R53" s="19">
        <f t="shared" si="3"/>
        <v>62.724966790286153</v>
      </c>
      <c r="S53" s="19">
        <f t="shared" si="4"/>
        <v>71.47000491121571</v>
      </c>
      <c r="T53" s="19">
        <f t="shared" si="5"/>
        <v>123.55556970241389</v>
      </c>
    </row>
    <row r="54" spans="1:38" x14ac:dyDescent="0.2">
      <c r="A54" s="14" t="s">
        <v>84</v>
      </c>
      <c r="B54" s="3"/>
      <c r="C54" s="4">
        <f>C53*1.022</f>
        <v>2204.1293428222762</v>
      </c>
      <c r="D54" s="4">
        <f t="shared" ref="D54:N54" si="6">D53*1.022</f>
        <v>2191.3661538003839</v>
      </c>
      <c r="E54" s="4">
        <f t="shared" si="6"/>
        <v>1312.3762718018697</v>
      </c>
      <c r="F54" s="4">
        <f t="shared" si="6"/>
        <v>1302.0003612428206</v>
      </c>
      <c r="G54" s="4">
        <f t="shared" si="6"/>
        <v>5983.8772582172296</v>
      </c>
      <c r="H54" s="4">
        <f t="shared" si="6"/>
        <v>6078.7829595292187</v>
      </c>
      <c r="I54" s="4">
        <f t="shared" si="6"/>
        <v>109687.988838768</v>
      </c>
      <c r="J54" s="4">
        <f t="shared" si="6"/>
        <v>33011.291588408909</v>
      </c>
      <c r="K54" s="4">
        <f t="shared" si="6"/>
        <v>8928.3794939135441</v>
      </c>
      <c r="L54" s="4">
        <f t="shared" si="6"/>
        <v>64104.916059672454</v>
      </c>
      <c r="M54" s="4">
        <f t="shared" si="6"/>
        <v>73042.345019262459</v>
      </c>
      <c r="N54" s="4">
        <f t="shared" si="6"/>
        <v>126273.792235867</v>
      </c>
      <c r="O54" s="14" t="s">
        <v>84</v>
      </c>
      <c r="P54" s="19">
        <f t="shared" si="1"/>
        <v>33.011291588408909</v>
      </c>
      <c r="Q54" s="19">
        <f t="shared" si="2"/>
        <v>8.9283794939135444</v>
      </c>
      <c r="R54" s="19">
        <f t="shared" si="3"/>
        <v>64.104916059672462</v>
      </c>
      <c r="S54" s="19">
        <f t="shared" si="4"/>
        <v>73.042345019262456</v>
      </c>
      <c r="T54" s="19">
        <f t="shared" si="5"/>
        <v>126.27379223586701</v>
      </c>
    </row>
    <row r="55" spans="1:38" x14ac:dyDescent="0.2">
      <c r="A55" s="3" t="s">
        <v>62</v>
      </c>
      <c r="B55" s="3" t="s">
        <v>13</v>
      </c>
      <c r="C55" s="4">
        <v>502.42324527559288</v>
      </c>
      <c r="D55" s="4">
        <v>507.60040414744873</v>
      </c>
      <c r="E55" s="4">
        <v>480.68484511742889</v>
      </c>
      <c r="F55" s="4">
        <v>479.52936734424878</v>
      </c>
      <c r="G55" s="4">
        <v>1692.9025281064603</v>
      </c>
      <c r="H55" s="4">
        <v>1730.2373513330388</v>
      </c>
      <c r="I55" s="4">
        <v>2452.7764946050875</v>
      </c>
      <c r="J55" s="4">
        <v>594.35543829188907</v>
      </c>
      <c r="K55" s="4">
        <v>761.29769568414918</v>
      </c>
      <c r="L55" s="4">
        <v>1379.4423983131262</v>
      </c>
      <c r="M55" s="4">
        <v>771.05500697296588</v>
      </c>
      <c r="N55" s="4">
        <v>1098.6489522730108</v>
      </c>
      <c r="O55" s="3" t="s">
        <v>62</v>
      </c>
      <c r="P55" s="19">
        <f t="shared" si="1"/>
        <v>0.59435543829188908</v>
      </c>
      <c r="Q55" s="19">
        <f t="shared" si="2"/>
        <v>0.76129769568414918</v>
      </c>
      <c r="R55" s="19">
        <f t="shared" si="3"/>
        <v>1.3794423983131263</v>
      </c>
      <c r="S55" s="19">
        <f t="shared" si="4"/>
        <v>0.77105500697296592</v>
      </c>
      <c r="T55" s="19">
        <f t="shared" si="5"/>
        <v>1.0986489522730107</v>
      </c>
    </row>
    <row r="57" spans="1:38" ht="15" x14ac:dyDescent="0.2">
      <c r="A57" s="6" t="s">
        <v>64</v>
      </c>
      <c r="B57" s="7"/>
      <c r="C57" s="6">
        <f t="shared" ref="C57:N57" si="7">C24/C48</f>
        <v>16.024191747064219</v>
      </c>
      <c r="D57" s="6">
        <f t="shared" si="7"/>
        <v>16.013722217260703</v>
      </c>
      <c r="E57" s="6">
        <f t="shared" si="7"/>
        <v>15.87480575177182</v>
      </c>
      <c r="F57" s="6">
        <f t="shared" si="7"/>
        <v>16.111368375891452</v>
      </c>
      <c r="G57" s="6">
        <f t="shared" si="7"/>
        <v>16.065417184967217</v>
      </c>
      <c r="H57" s="6">
        <f t="shared" si="7"/>
        <v>15.96592210979505</v>
      </c>
      <c r="I57" s="6">
        <f t="shared" si="7"/>
        <v>30.713886374507229</v>
      </c>
      <c r="J57" s="6">
        <f t="shared" si="7"/>
        <v>15.891303352170899</v>
      </c>
      <c r="K57" s="6">
        <f t="shared" si="7"/>
        <v>19.352356754010913</v>
      </c>
      <c r="L57" s="6">
        <f t="shared" si="7"/>
        <v>16.85342973961226</v>
      </c>
      <c r="M57" s="6">
        <f t="shared" si="7"/>
        <v>16.317754483726535</v>
      </c>
      <c r="N57" s="6">
        <f t="shared" si="7"/>
        <v>19.910968835975364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</row>
    <row r="58" spans="1:38" ht="15" x14ac:dyDescent="0.2">
      <c r="A58" s="6" t="s">
        <v>65</v>
      </c>
      <c r="B58" s="7"/>
      <c r="C58" s="6">
        <f t="shared" ref="C58:N58" si="8">C23/C47</f>
        <v>37.487436043062154</v>
      </c>
      <c r="D58" s="6">
        <f t="shared" si="8"/>
        <v>37.091107166156291</v>
      </c>
      <c r="E58" s="6">
        <f t="shared" si="8"/>
        <v>35.094382047982485</v>
      </c>
      <c r="F58" s="6">
        <f t="shared" si="8"/>
        <v>35.33502271887231</v>
      </c>
      <c r="G58" s="6">
        <f t="shared" si="8"/>
        <v>38.947793519707723</v>
      </c>
      <c r="H58" s="6">
        <f t="shared" si="8"/>
        <v>38.658393710263944</v>
      </c>
      <c r="I58" s="6">
        <f t="shared" si="8"/>
        <v>40.143314784674352</v>
      </c>
      <c r="J58" s="6">
        <f t="shared" si="8"/>
        <v>36.718527121601475</v>
      </c>
      <c r="K58" s="6">
        <f t="shared" si="8"/>
        <v>40.186799985294144</v>
      </c>
      <c r="L58" s="6">
        <f t="shared" si="8"/>
        <v>37.855370582989423</v>
      </c>
      <c r="M58" s="6">
        <f t="shared" si="8"/>
        <v>38.704028468082477</v>
      </c>
      <c r="N58" s="6">
        <f t="shared" si="8"/>
        <v>38.072618433665326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</row>
    <row r="59" spans="1:38" ht="15" x14ac:dyDescent="0.2">
      <c r="A59" s="6" t="s">
        <v>66</v>
      </c>
      <c r="B59" s="7"/>
      <c r="C59" s="6">
        <f t="shared" ref="C59:N59" si="9">C21/C42</f>
        <v>25.025290126195031</v>
      </c>
      <c r="D59" s="6">
        <f t="shared" si="9"/>
        <v>25.052511310625505</v>
      </c>
      <c r="E59" s="6">
        <f t="shared" si="9"/>
        <v>25.30171048769753</v>
      </c>
      <c r="F59" s="6">
        <f t="shared" si="9"/>
        <v>25.355359240639999</v>
      </c>
      <c r="G59" s="6">
        <f t="shared" si="9"/>
        <v>25.210277467350799</v>
      </c>
      <c r="H59" s="6">
        <f t="shared" si="9"/>
        <v>25.16267024314871</v>
      </c>
      <c r="I59" s="6">
        <f t="shared" si="9"/>
        <v>25.638626778669686</v>
      </c>
      <c r="J59" s="6">
        <f t="shared" si="9"/>
        <v>25.119826105468839</v>
      </c>
      <c r="K59" s="6">
        <f t="shared" si="9"/>
        <v>25.514670489317204</v>
      </c>
      <c r="L59" s="6">
        <f t="shared" si="9"/>
        <v>24.178874034312972</v>
      </c>
      <c r="M59" s="6">
        <f t="shared" si="9"/>
        <v>24.539531983737952</v>
      </c>
      <c r="N59" s="6">
        <f t="shared" si="9"/>
        <v>24.800261566338563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</row>
    <row r="60" spans="1:38" ht="15" x14ac:dyDescent="0.2">
      <c r="A60" s="8" t="s">
        <v>86</v>
      </c>
      <c r="B60" s="9"/>
      <c r="C60" s="12">
        <f>C46/C47</f>
        <v>0.12813031872093636</v>
      </c>
      <c r="D60" s="12">
        <f t="shared" ref="D60:N60" si="10">D46/D47</f>
        <v>0.12760957820289415</v>
      </c>
      <c r="E60" s="12">
        <f t="shared" si="10"/>
        <v>0.14010708016131851</v>
      </c>
      <c r="F60" s="12">
        <f t="shared" si="10"/>
        <v>0.14003308228782232</v>
      </c>
      <c r="G60" s="12">
        <f t="shared" si="10"/>
        <v>0.10337555531205717</v>
      </c>
      <c r="H60" s="12">
        <f t="shared" si="10"/>
        <v>0.10341051445577461</v>
      </c>
      <c r="I60" s="12">
        <f t="shared" si="10"/>
        <v>1.5702691263644916E-2</v>
      </c>
      <c r="J60" s="12">
        <f t="shared" si="10"/>
        <v>0.1432350838907134</v>
      </c>
      <c r="K60" s="12">
        <f t="shared" si="10"/>
        <v>5.7254218692769331E-2</v>
      </c>
      <c r="L60" s="12">
        <f t="shared" si="10"/>
        <v>5.168658568845335E-2</v>
      </c>
      <c r="M60" s="12">
        <f t="shared" si="10"/>
        <v>6.5068240521734003E-2</v>
      </c>
      <c r="N60" s="12">
        <f t="shared" si="10"/>
        <v>5.4287750450413341E-2</v>
      </c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ht="15" x14ac:dyDescent="0.2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ht="15" x14ac:dyDescent="0.2">
      <c r="A62" s="9" t="s">
        <v>67</v>
      </c>
      <c r="B62" s="9"/>
      <c r="C62" s="10" t="str">
        <f t="shared" ref="C62:N62" si="11">C1</f>
        <v>W2-K</v>
      </c>
      <c r="D62" s="10" t="str">
        <f t="shared" si="11"/>
        <v>W2a15</v>
      </c>
      <c r="E62" s="10" t="str">
        <f t="shared" si="11"/>
        <v>JB3-8</v>
      </c>
      <c r="F62" s="10" t="str">
        <f t="shared" si="11"/>
        <v>JB3-9</v>
      </c>
      <c r="G62" s="10" t="str">
        <f t="shared" si="11"/>
        <v>BCR2-P</v>
      </c>
      <c r="H62" s="10" t="str">
        <f t="shared" si="11"/>
        <v>BCR2-glass</v>
      </c>
      <c r="I62" s="10" t="str">
        <f t="shared" si="11"/>
        <v>GSP2-D</v>
      </c>
      <c r="J62" s="10" t="str">
        <f t="shared" si="11"/>
        <v>DR21-1</v>
      </c>
      <c r="K62" s="10" t="str">
        <f t="shared" si="11"/>
        <v>DR21-2</v>
      </c>
      <c r="L62" s="10" t="str">
        <f t="shared" si="11"/>
        <v>DR21-4</v>
      </c>
      <c r="M62" s="10" t="str">
        <f t="shared" si="11"/>
        <v>DR21-8</v>
      </c>
      <c r="N62" s="10" t="str">
        <f t="shared" si="11"/>
        <v>DR21-11</v>
      </c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ht="15" x14ac:dyDescent="0.2">
      <c r="A63" s="9" t="s">
        <v>68</v>
      </c>
      <c r="B63" s="9">
        <v>237</v>
      </c>
      <c r="C63" s="11">
        <f t="shared" ref="C63:N63" si="12">C33/$B63</f>
        <v>44.260473723225623</v>
      </c>
      <c r="D63" s="11">
        <f t="shared" si="12"/>
        <v>44.525217475136927</v>
      </c>
      <c r="E63" s="11">
        <f t="shared" si="12"/>
        <v>35.473538826898547</v>
      </c>
      <c r="F63" s="11">
        <f t="shared" si="12"/>
        <v>35.414242577475804</v>
      </c>
      <c r="G63" s="11">
        <f t="shared" si="12"/>
        <v>105.33645678906771</v>
      </c>
      <c r="H63" s="11">
        <f t="shared" si="12"/>
        <v>106.77973348076351</v>
      </c>
      <c r="I63" s="11">
        <f t="shared" si="12"/>
        <v>782.2414099774744</v>
      </c>
      <c r="J63" s="11">
        <f t="shared" si="12"/>
        <v>533.95119822755771</v>
      </c>
      <c r="K63" s="11">
        <f t="shared" si="12"/>
        <v>260.20862035450159</v>
      </c>
      <c r="L63" s="11">
        <f t="shared" si="12"/>
        <v>593.65597451737835</v>
      </c>
      <c r="M63" s="11">
        <f t="shared" si="12"/>
        <v>770.65933150071896</v>
      </c>
      <c r="N63" s="11">
        <f t="shared" si="12"/>
        <v>758.66384406458008</v>
      </c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</row>
    <row r="64" spans="1:38" ht="15" x14ac:dyDescent="0.2">
      <c r="A64" s="9" t="s">
        <v>69</v>
      </c>
      <c r="B64" s="9">
        <v>612</v>
      </c>
      <c r="C64" s="11">
        <f t="shared" ref="C64:N64" si="13">C34/$B64</f>
        <v>37.822268312522127</v>
      </c>
      <c r="D64" s="11">
        <f t="shared" si="13"/>
        <v>38.049284912428426</v>
      </c>
      <c r="E64" s="11">
        <f t="shared" si="13"/>
        <v>34.751502347720923</v>
      </c>
      <c r="F64" s="11">
        <f t="shared" si="13"/>
        <v>34.83464326240049</v>
      </c>
      <c r="G64" s="11">
        <f t="shared" si="13"/>
        <v>86.726643978512683</v>
      </c>
      <c r="H64" s="11">
        <f t="shared" si="13"/>
        <v>87.94990338654182</v>
      </c>
      <c r="I64" s="11">
        <f t="shared" si="13"/>
        <v>724.69847637797943</v>
      </c>
      <c r="J64" s="11">
        <f t="shared" si="13"/>
        <v>360.97435654569085</v>
      </c>
      <c r="K64" s="11">
        <f t="shared" si="13"/>
        <v>242.69001122540814</v>
      </c>
      <c r="L64" s="11">
        <f t="shared" si="13"/>
        <v>492.12262645358197</v>
      </c>
      <c r="M64" s="11">
        <f t="shared" si="13"/>
        <v>649.3595532552589</v>
      </c>
      <c r="N64" s="11">
        <f t="shared" si="13"/>
        <v>618.3520683446626</v>
      </c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</row>
    <row r="65" spans="1:38" ht="15" x14ac:dyDescent="0.2">
      <c r="A65" s="9" t="s">
        <v>70</v>
      </c>
      <c r="B65" s="9">
        <v>95</v>
      </c>
      <c r="C65" s="11">
        <f t="shared" ref="C65:N65" si="14">C35/$B65</f>
        <v>31.82236876201824</v>
      </c>
      <c r="D65" s="11">
        <f t="shared" si="14"/>
        <v>31.871048070061565</v>
      </c>
      <c r="E65" s="11">
        <f t="shared" si="14"/>
        <v>34.29148534258821</v>
      </c>
      <c r="F65" s="11">
        <f t="shared" si="14"/>
        <v>34.315449546048164</v>
      </c>
      <c r="G65" s="11">
        <f t="shared" si="14"/>
        <v>72.32610266000286</v>
      </c>
      <c r="H65" s="11">
        <f t="shared" si="14"/>
        <v>73.463120771765787</v>
      </c>
      <c r="I65" s="11">
        <f t="shared" si="14"/>
        <v>593.59519773154659</v>
      </c>
      <c r="J65" s="11">
        <f t="shared" si="14"/>
        <v>301.31986580925769</v>
      </c>
      <c r="K65" s="11">
        <f t="shared" si="14"/>
        <v>178.72463327301816</v>
      </c>
      <c r="L65" s="11">
        <f t="shared" si="14"/>
        <v>348.73765871706519</v>
      </c>
      <c r="M65" s="11">
        <f t="shared" si="14"/>
        <v>452.99876539804552</v>
      </c>
      <c r="N65" s="11">
        <f t="shared" si="14"/>
        <v>427.95193941044619</v>
      </c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</row>
    <row r="66" spans="1:38" ht="15" x14ac:dyDescent="0.2">
      <c r="A66" s="9" t="s">
        <v>71</v>
      </c>
      <c r="B66" s="9">
        <v>467</v>
      </c>
      <c r="C66" s="11">
        <f t="shared" ref="C66:N66" si="15">C36/$B66</f>
        <v>27.619370258895529</v>
      </c>
      <c r="D66" s="11">
        <f t="shared" si="15"/>
        <v>27.674309180523039</v>
      </c>
      <c r="E66" s="11">
        <f t="shared" si="15"/>
        <v>33.396884905670134</v>
      </c>
      <c r="F66" s="11">
        <f t="shared" si="15"/>
        <v>33.448323027443472</v>
      </c>
      <c r="G66" s="11">
        <f t="shared" si="15"/>
        <v>61.268914186647095</v>
      </c>
      <c r="H66" s="11">
        <f t="shared" si="15"/>
        <v>61.921279676703335</v>
      </c>
      <c r="I66" s="11">
        <f t="shared" si="15"/>
        <v>440.30565760801687</v>
      </c>
      <c r="J66" s="11">
        <f t="shared" si="15"/>
        <v>226.27567696446215</v>
      </c>
      <c r="K66" s="11">
        <f t="shared" si="15"/>
        <v>141.03856594026666</v>
      </c>
      <c r="L66" s="11">
        <f t="shared" si="15"/>
        <v>247.8111849084423</v>
      </c>
      <c r="M66" s="11">
        <f t="shared" si="15"/>
        <v>325.42245490355054</v>
      </c>
      <c r="N66" s="11">
        <f t="shared" si="15"/>
        <v>301.36419346678514</v>
      </c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</row>
    <row r="67" spans="1:38" ht="15" x14ac:dyDescent="0.2">
      <c r="A67" s="9" t="s">
        <v>72</v>
      </c>
      <c r="B67" s="9"/>
      <c r="C67" s="12">
        <f>10^((LOG(C66)+LOG(C68))/2)</f>
        <v>24.276232106133339</v>
      </c>
      <c r="D67" s="12">
        <f t="shared" ref="D67:N67" si="16">10^((LOG(D66)+LOG(D68))/2)</f>
        <v>24.311534016332956</v>
      </c>
      <c r="E67" s="12">
        <f t="shared" si="16"/>
        <v>30.156996836385773</v>
      </c>
      <c r="F67" s="12">
        <f t="shared" si="16"/>
        <v>30.18729958073023</v>
      </c>
      <c r="G67" s="12">
        <f t="shared" si="16"/>
        <v>50.964863984382234</v>
      </c>
      <c r="H67" s="12">
        <f t="shared" si="16"/>
        <v>51.667277357969496</v>
      </c>
      <c r="I67" s="12">
        <f t="shared" si="16"/>
        <v>272.80228641772823</v>
      </c>
      <c r="J67" s="12">
        <f t="shared" si="16"/>
        <v>176.72224299705871</v>
      </c>
      <c r="K67" s="12">
        <f t="shared" si="16"/>
        <v>110.25042828052906</v>
      </c>
      <c r="L67" s="12">
        <f t="shared" si="16"/>
        <v>180.45351706855118</v>
      </c>
      <c r="M67" s="12">
        <f t="shared" si="16"/>
        <v>232.37079080903504</v>
      </c>
      <c r="N67" s="12">
        <f t="shared" si="16"/>
        <v>211.1822297159662</v>
      </c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</row>
    <row r="68" spans="1:38" ht="15" x14ac:dyDescent="0.2">
      <c r="A68" s="9" t="s">
        <v>73</v>
      </c>
      <c r="B68" s="9">
        <v>153</v>
      </c>
      <c r="C68" s="11">
        <f t="shared" ref="C68:N68" si="17">C37/$B68</f>
        <v>21.337758238026755</v>
      </c>
      <c r="D68" s="11">
        <f t="shared" si="17"/>
        <v>21.357378150681765</v>
      </c>
      <c r="E68" s="11">
        <f t="shared" si="17"/>
        <v>27.231415767024895</v>
      </c>
      <c r="F68" s="11">
        <f t="shared" si="17"/>
        <v>27.24420758640364</v>
      </c>
      <c r="G68" s="11">
        <f t="shared" si="17"/>
        <v>42.393722745500504</v>
      </c>
      <c r="H68" s="11">
        <f t="shared" si="17"/>
        <v>43.111311063387056</v>
      </c>
      <c r="I68" s="11">
        <f t="shared" si="17"/>
        <v>169.02141998137483</v>
      </c>
      <c r="J68" s="11">
        <f t="shared" si="17"/>
        <v>138.02080536838423</v>
      </c>
      <c r="K68" s="11">
        <f t="shared" si="17"/>
        <v>86.183214179787356</v>
      </c>
      <c r="L68" s="11">
        <f t="shared" si="17"/>
        <v>131.40436673365241</v>
      </c>
      <c r="M68" s="11">
        <f t="shared" si="17"/>
        <v>165.92642458314637</v>
      </c>
      <c r="N68" s="11">
        <f t="shared" si="17"/>
        <v>147.98683823306445</v>
      </c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</row>
    <row r="69" spans="1:38" ht="15" x14ac:dyDescent="0.2">
      <c r="A69" s="9" t="s">
        <v>74</v>
      </c>
      <c r="B69" s="9">
        <v>58</v>
      </c>
      <c r="C69" s="11">
        <f t="shared" ref="C69:N69" si="18">C38/$B69</f>
        <v>18.810452107629711</v>
      </c>
      <c r="D69" s="11">
        <f t="shared" si="18"/>
        <v>18.903325700996582</v>
      </c>
      <c r="E69" s="11">
        <f t="shared" si="18"/>
        <v>22.556643946856866</v>
      </c>
      <c r="F69" s="11">
        <f t="shared" si="18"/>
        <v>22.634540456737106</v>
      </c>
      <c r="G69" s="11">
        <f t="shared" si="18"/>
        <v>33.473595800600158</v>
      </c>
      <c r="H69" s="11">
        <f t="shared" si="18"/>
        <v>33.981577650387422</v>
      </c>
      <c r="I69" s="11">
        <f t="shared" si="18"/>
        <v>38.306760787789045</v>
      </c>
      <c r="J69" s="11">
        <f t="shared" si="18"/>
        <v>41.095960966286135</v>
      </c>
      <c r="K69" s="11">
        <f t="shared" si="18"/>
        <v>40.186438536351204</v>
      </c>
      <c r="L69" s="11">
        <f t="shared" si="18"/>
        <v>42.966876720547049</v>
      </c>
      <c r="M69" s="11">
        <f t="shared" si="18"/>
        <v>50.159498471329385</v>
      </c>
      <c r="N69" s="11">
        <f t="shared" si="18"/>
        <v>49.695704579881173</v>
      </c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</row>
    <row r="70" spans="1:38" ht="15" x14ac:dyDescent="0.2">
      <c r="A70" s="9" t="s">
        <v>75</v>
      </c>
      <c r="B70" s="9">
        <v>205.5</v>
      </c>
      <c r="C70" s="11">
        <f t="shared" ref="C70:N70" si="19">C39/$B70</f>
        <v>18.04874725588315</v>
      </c>
      <c r="D70" s="11">
        <f t="shared" si="19"/>
        <v>18.040430696495562</v>
      </c>
      <c r="E70" s="11">
        <f t="shared" si="19"/>
        <v>22.652026054839165</v>
      </c>
      <c r="F70" s="11">
        <f t="shared" si="19"/>
        <v>22.530018152234749</v>
      </c>
      <c r="G70" s="11">
        <f t="shared" si="19"/>
        <v>32.720682478925987</v>
      </c>
      <c r="H70" s="11">
        <f t="shared" si="19"/>
        <v>33.113825908124085</v>
      </c>
      <c r="I70" s="11">
        <f t="shared" si="19"/>
        <v>57.942827808593371</v>
      </c>
      <c r="J70" s="11">
        <f t="shared" si="19"/>
        <v>95.980189810311686</v>
      </c>
      <c r="K70" s="11">
        <f t="shared" si="19"/>
        <v>55.429365070167719</v>
      </c>
      <c r="L70" s="11">
        <f t="shared" si="19"/>
        <v>73.074935240344644</v>
      </c>
      <c r="M70" s="11">
        <f t="shared" si="19"/>
        <v>89.923803312209216</v>
      </c>
      <c r="N70" s="11">
        <f t="shared" si="19"/>
        <v>77.815247425899301</v>
      </c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</row>
    <row r="71" spans="1:38" ht="15" x14ac:dyDescent="0.2">
      <c r="A71" s="9" t="s">
        <v>76</v>
      </c>
      <c r="B71" s="9">
        <v>37.4</v>
      </c>
      <c r="C71" s="11">
        <f t="shared" ref="C71:N71" si="20">C40/$B71</f>
        <v>16.430391608920463</v>
      </c>
      <c r="D71" s="11">
        <f t="shared" si="20"/>
        <v>16.464351253718128</v>
      </c>
      <c r="E71" s="11">
        <f t="shared" si="20"/>
        <v>19.806899079272114</v>
      </c>
      <c r="F71" s="11">
        <f t="shared" si="20"/>
        <v>19.747833500668893</v>
      </c>
      <c r="G71" s="11">
        <f t="shared" si="20"/>
        <v>27.906502091594</v>
      </c>
      <c r="H71" s="11">
        <f t="shared" si="20"/>
        <v>28.348254764676899</v>
      </c>
      <c r="I71" s="11">
        <f t="shared" si="20"/>
        <v>33.523598919182788</v>
      </c>
      <c r="J71" s="11">
        <f t="shared" si="20"/>
        <v>81.951479713837585</v>
      </c>
      <c r="K71" s="11">
        <f t="shared" si="20"/>
        <v>44.01539922402268</v>
      </c>
      <c r="L71" s="11">
        <f t="shared" si="20"/>
        <v>59.078409394989386</v>
      </c>
      <c r="M71" s="11">
        <f t="shared" si="20"/>
        <v>68.22673480190268</v>
      </c>
      <c r="N71" s="11">
        <f t="shared" si="20"/>
        <v>57.474856616371</v>
      </c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</row>
    <row r="72" spans="1:38" ht="15" x14ac:dyDescent="0.2">
      <c r="A72" s="9" t="s">
        <v>77</v>
      </c>
      <c r="B72" s="9">
        <v>254</v>
      </c>
      <c r="C72" s="11">
        <f t="shared" ref="C72:N72" si="21">C41/$B72</f>
        <v>15.036749301770628</v>
      </c>
      <c r="D72" s="11">
        <f t="shared" si="21"/>
        <v>14.946760721751795</v>
      </c>
      <c r="E72" s="11">
        <f t="shared" si="21"/>
        <v>17.84990269356755</v>
      </c>
      <c r="F72" s="11">
        <f t="shared" si="21"/>
        <v>17.790208606630323</v>
      </c>
      <c r="G72" s="11">
        <f t="shared" si="21"/>
        <v>24.746316922490294</v>
      </c>
      <c r="H72" s="11">
        <f t="shared" si="21"/>
        <v>25.157407586968283</v>
      </c>
      <c r="I72" s="11">
        <f t="shared" si="21"/>
        <v>22.242904889573406</v>
      </c>
      <c r="J72" s="11">
        <f t="shared" si="21"/>
        <v>70.721237723807903</v>
      </c>
      <c r="K72" s="11">
        <f t="shared" si="21"/>
        <v>34.914133120467156</v>
      </c>
      <c r="L72" s="11">
        <f t="shared" si="21"/>
        <v>48.735704971116434</v>
      </c>
      <c r="M72" s="11">
        <f t="shared" si="21"/>
        <v>53.154374979980332</v>
      </c>
      <c r="N72" s="11">
        <f t="shared" si="21"/>
        <v>44.049386943471596</v>
      </c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</row>
    <row r="73" spans="1:38" ht="15" x14ac:dyDescent="0.2">
      <c r="A73" s="9" t="s">
        <v>78</v>
      </c>
      <c r="B73" s="9">
        <v>56.6</v>
      </c>
      <c r="C73" s="11">
        <f t="shared" ref="C73:N73" si="22">C42/$B73</f>
        <v>14.220924986455728</v>
      </c>
      <c r="D73" s="11">
        <f t="shared" si="22"/>
        <v>14.163585048070175</v>
      </c>
      <c r="E73" s="11">
        <f t="shared" si="22"/>
        <v>16.895286035393791</v>
      </c>
      <c r="F73" s="11">
        <f t="shared" si="22"/>
        <v>16.845239973417563</v>
      </c>
      <c r="G73" s="11">
        <f t="shared" si="22"/>
        <v>23.248944104149885</v>
      </c>
      <c r="H73" s="11">
        <f t="shared" si="22"/>
        <v>23.57555436623737</v>
      </c>
      <c r="I73" s="11">
        <f t="shared" si="22"/>
        <v>17.081343622226779</v>
      </c>
      <c r="J73" s="11">
        <f t="shared" si="22"/>
        <v>64.503119588301729</v>
      </c>
      <c r="K73" s="11">
        <f t="shared" si="22"/>
        <v>29.720448972022126</v>
      </c>
      <c r="L73" s="11">
        <f t="shared" si="22"/>
        <v>42.675744628618276</v>
      </c>
      <c r="M73" s="11">
        <f t="shared" si="22"/>
        <v>44.199714047076618</v>
      </c>
      <c r="N73" s="11">
        <f t="shared" si="22"/>
        <v>36.383163251728924</v>
      </c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</row>
    <row r="74" spans="1:38" ht="15" x14ac:dyDescent="0.2">
      <c r="A74" s="9" t="s">
        <v>79</v>
      </c>
      <c r="B74" s="9">
        <v>165.5</v>
      </c>
      <c r="C74" s="11">
        <f t="shared" ref="C74:N74" si="23">C43/$B74</f>
        <v>13.433875540528707</v>
      </c>
      <c r="D74" s="11">
        <f t="shared" si="23"/>
        <v>13.418219066054991</v>
      </c>
      <c r="E74" s="11">
        <f t="shared" si="23"/>
        <v>16.135595326461374</v>
      </c>
      <c r="F74" s="11">
        <f t="shared" si="23"/>
        <v>16.08296709367135</v>
      </c>
      <c r="G74" s="11">
        <f t="shared" si="23"/>
        <v>21.836917376986975</v>
      </c>
      <c r="H74" s="11">
        <f t="shared" si="23"/>
        <v>22.149146470366134</v>
      </c>
      <c r="I74" s="11">
        <f t="shared" si="23"/>
        <v>13.882792731114067</v>
      </c>
      <c r="J74" s="11">
        <f t="shared" si="23"/>
        <v>59.402671685551049</v>
      </c>
      <c r="K74" s="11">
        <f t="shared" si="23"/>
        <v>25.482817035514842</v>
      </c>
      <c r="L74" s="11">
        <f t="shared" si="23"/>
        <v>38.311573417373936</v>
      </c>
      <c r="M74" s="11">
        <f t="shared" si="23"/>
        <v>36.448914916271448</v>
      </c>
      <c r="N74" s="11">
        <f t="shared" si="23"/>
        <v>30.555600092055542</v>
      </c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</row>
    <row r="75" spans="1:38" ht="15" x14ac:dyDescent="0.2">
      <c r="A75" s="9" t="s">
        <v>80</v>
      </c>
      <c r="B75" s="9">
        <v>25.5</v>
      </c>
      <c r="C75" s="11">
        <f t="shared" ref="C75:N75" si="24">C44/$B75</f>
        <v>12.842461102780643</v>
      </c>
      <c r="D75" s="11">
        <f t="shared" si="24"/>
        <v>12.817136466087995</v>
      </c>
      <c r="E75" s="11">
        <f t="shared" si="24"/>
        <v>15.376218227941493</v>
      </c>
      <c r="F75" s="11">
        <f t="shared" si="24"/>
        <v>15.343573875761482</v>
      </c>
      <c r="G75" s="11">
        <f t="shared" si="24"/>
        <v>20.702604016286418</v>
      </c>
      <c r="H75" s="11">
        <f t="shared" si="24"/>
        <v>21.217131644700689</v>
      </c>
      <c r="I75" s="11">
        <f t="shared" si="24"/>
        <v>11.492704452119009</v>
      </c>
      <c r="J75" s="11">
        <f t="shared" si="24"/>
        <v>56.61733096255994</v>
      </c>
      <c r="K75" s="11">
        <f t="shared" si="24"/>
        <v>22.271208024774591</v>
      </c>
      <c r="L75" s="11">
        <f t="shared" si="24"/>
        <v>34.87093137185267</v>
      </c>
      <c r="M75" s="11">
        <f t="shared" si="24"/>
        <v>29.215598051815505</v>
      </c>
      <c r="N75" s="11">
        <f t="shared" si="24"/>
        <v>26.146369237406898</v>
      </c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</row>
    <row r="76" spans="1:38" ht="15" x14ac:dyDescent="0.2">
      <c r="A76" s="9" t="s">
        <v>81</v>
      </c>
      <c r="B76" s="9">
        <v>170</v>
      </c>
      <c r="C76" s="11">
        <f t="shared" ref="C76:N76" si="25">C45/$B76</f>
        <v>12.101101007856439</v>
      </c>
      <c r="D76" s="11">
        <f t="shared" si="25"/>
        <v>12.112920380668289</v>
      </c>
      <c r="E76" s="11">
        <f t="shared" si="25"/>
        <v>14.768233539909991</v>
      </c>
      <c r="F76" s="11">
        <f t="shared" si="25"/>
        <v>14.65547517416487</v>
      </c>
      <c r="G76" s="11">
        <f t="shared" si="25"/>
        <v>19.752945453041928</v>
      </c>
      <c r="H76" s="11">
        <f t="shared" si="25"/>
        <v>20.089064561679457</v>
      </c>
      <c r="I76" s="11">
        <f t="shared" si="25"/>
        <v>9.7314548437935073</v>
      </c>
      <c r="J76" s="11">
        <f t="shared" si="25"/>
        <v>52.943319106693764</v>
      </c>
      <c r="K76" s="11">
        <f t="shared" si="25"/>
        <v>19.248814385099177</v>
      </c>
      <c r="L76" s="11">
        <f t="shared" si="25"/>
        <v>30.68994190250984</v>
      </c>
      <c r="M76" s="11">
        <f t="shared" si="25"/>
        <v>23.10510731183598</v>
      </c>
      <c r="N76" s="11">
        <f t="shared" si="25"/>
        <v>21.79064789690532</v>
      </c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</row>
    <row r="77" spans="1:38" ht="15" x14ac:dyDescent="0.2">
      <c r="A77" s="9" t="s">
        <v>82</v>
      </c>
      <c r="B77" s="9">
        <v>25.4</v>
      </c>
      <c r="C77" s="11">
        <f t="shared" ref="C77:N77" si="26">C46/$B77</f>
        <v>11.902524884398932</v>
      </c>
      <c r="D77" s="11">
        <f t="shared" si="26"/>
        <v>11.821577960954473</v>
      </c>
      <c r="E77" s="11">
        <f t="shared" si="26"/>
        <v>14.696710752453884</v>
      </c>
      <c r="F77" s="11">
        <f t="shared" si="26"/>
        <v>14.601554631635985</v>
      </c>
      <c r="G77" s="11">
        <f t="shared" si="26"/>
        <v>19.486702625765936</v>
      </c>
      <c r="H77" s="11">
        <f t="shared" si="26"/>
        <v>19.860213763091394</v>
      </c>
      <c r="I77" s="11">
        <f t="shared" si="26"/>
        <v>9.0931564242004281</v>
      </c>
      <c r="J77" s="11">
        <f t="shared" si="26"/>
        <v>50.465563513470521</v>
      </c>
      <c r="K77" s="11">
        <f t="shared" si="26"/>
        <v>17.526519646281351</v>
      </c>
      <c r="L77" s="11">
        <f t="shared" si="26"/>
        <v>27.763165978905231</v>
      </c>
      <c r="M77" s="11">
        <f t="shared" si="26"/>
        <v>19.516169288882004</v>
      </c>
      <c r="N77" s="11">
        <f t="shared" si="26"/>
        <v>19.891882343286504</v>
      </c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</row>
    <row r="78" spans="1:38" ht="15" x14ac:dyDescent="0.2">
      <c r="A78"/>
      <c r="B78"/>
    </row>
    <row r="79" spans="1:38" ht="15" x14ac:dyDescent="0.2">
      <c r="A79" s="13" t="s">
        <v>83</v>
      </c>
      <c r="B79" s="13"/>
      <c r="C79" s="12">
        <f>C69/(10^((LOG(C68)+LOG(C70))/2))</f>
        <v>0.95852028263654909</v>
      </c>
      <c r="D79" s="12">
        <f t="shared" ref="D79:N79" si="27">D69/(10^((LOG(D68)+LOG(D70))/2))</f>
        <v>0.96303217624040649</v>
      </c>
      <c r="E79" s="12">
        <f t="shared" si="27"/>
        <v>0.90820909685005424</v>
      </c>
      <c r="F79" s="12">
        <f t="shared" si="27"/>
        <v>0.9135952236428907</v>
      </c>
      <c r="G79" s="12">
        <f t="shared" si="27"/>
        <v>0.89875312468177615</v>
      </c>
      <c r="H79" s="12">
        <f t="shared" si="27"/>
        <v>0.89938003378564135</v>
      </c>
      <c r="I79" s="12">
        <f t="shared" si="27"/>
        <v>0.3870835483014794</v>
      </c>
      <c r="J79" s="12">
        <f t="shared" si="27"/>
        <v>0.35705577306386049</v>
      </c>
      <c r="K79" s="12">
        <f t="shared" si="27"/>
        <v>0.58143105430284292</v>
      </c>
      <c r="L79" s="12">
        <f t="shared" si="27"/>
        <v>0.43847482901111395</v>
      </c>
      <c r="M79" s="12">
        <f t="shared" si="27"/>
        <v>0.4106369962370327</v>
      </c>
      <c r="N79" s="12">
        <f t="shared" si="27"/>
        <v>0.46310018582480295</v>
      </c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</row>
    <row r="80" spans="1:38" x14ac:dyDescent="0.25">
      <c r="A80" s="1" t="s">
        <v>142</v>
      </c>
      <c r="C80">
        <f>C63/C68</f>
        <v>2.0742794641073168</v>
      </c>
      <c r="D80">
        <f t="shared" ref="D80:N80" si="28">D63/D68</f>
        <v>2.0847698233837568</v>
      </c>
      <c r="E80">
        <f t="shared" si="28"/>
        <v>1.3026696492899283</v>
      </c>
      <c r="F80">
        <f t="shared" si="28"/>
        <v>1.2998815423484535</v>
      </c>
      <c r="G80">
        <f t="shared" si="28"/>
        <v>2.4847182546677313</v>
      </c>
      <c r="H80">
        <f t="shared" si="28"/>
        <v>2.4768380002121493</v>
      </c>
      <c r="I80">
        <f t="shared" si="28"/>
        <v>4.6280608106574466</v>
      </c>
      <c r="J80">
        <f t="shared" si="28"/>
        <v>3.8686283332604532</v>
      </c>
      <c r="K80">
        <f t="shared" si="28"/>
        <v>3.0192494307728963</v>
      </c>
      <c r="L80">
        <f t="shared" si="28"/>
        <v>4.5177796543145181</v>
      </c>
      <c r="M80">
        <f t="shared" si="28"/>
        <v>4.6445846912981521</v>
      </c>
      <c r="N80">
        <f t="shared" si="28"/>
        <v>5.1265629641317192</v>
      </c>
    </row>
    <row r="81" spans="1:14" x14ac:dyDescent="0.25">
      <c r="A81" s="1" t="s">
        <v>143</v>
      </c>
      <c r="C81">
        <f>C63/C76</f>
        <v>3.6575575804623268</v>
      </c>
      <c r="D81">
        <f t="shared" ref="D81:N81" si="29">D63/D76</f>
        <v>3.6758449718036039</v>
      </c>
      <c r="E81">
        <f t="shared" si="29"/>
        <v>2.4020163773164946</v>
      </c>
      <c r="F81">
        <f t="shared" si="29"/>
        <v>2.416451336897294</v>
      </c>
      <c r="G81">
        <f t="shared" si="29"/>
        <v>5.3326961814115696</v>
      </c>
      <c r="H81">
        <f t="shared" si="29"/>
        <v>5.3153163579577178</v>
      </c>
      <c r="I81">
        <f t="shared" si="29"/>
        <v>80.382781663562824</v>
      </c>
      <c r="J81">
        <f t="shared" si="29"/>
        <v>10.085336681508675</v>
      </c>
      <c r="K81">
        <f t="shared" si="29"/>
        <v>13.518163516394722</v>
      </c>
      <c r="L81">
        <f t="shared" si="29"/>
        <v>19.3436656349235</v>
      </c>
      <c r="M81">
        <f t="shared" si="29"/>
        <v>33.354501284048823</v>
      </c>
      <c r="N81">
        <f t="shared" si="29"/>
        <v>34.816029686401592</v>
      </c>
    </row>
    <row r="82" spans="1:14" x14ac:dyDescent="0.25">
      <c r="A82" s="1" t="s">
        <v>144</v>
      </c>
      <c r="C82">
        <f>C70/C76</f>
        <v>1.4914962898140673</v>
      </c>
      <c r="D82">
        <f t="shared" ref="D82:N82" si="30">D70/D76</f>
        <v>1.4893543530003988</v>
      </c>
      <c r="E82">
        <f t="shared" si="30"/>
        <v>1.5338344964293695</v>
      </c>
      <c r="F82">
        <f t="shared" si="30"/>
        <v>1.5373106558804295</v>
      </c>
      <c r="G82">
        <f t="shared" si="30"/>
        <v>1.6564963719821868</v>
      </c>
      <c r="H82">
        <f t="shared" si="30"/>
        <v>1.6483508132723006</v>
      </c>
      <c r="I82">
        <f t="shared" si="30"/>
        <v>5.9541793841388415</v>
      </c>
      <c r="J82">
        <f t="shared" si="30"/>
        <v>1.8128857697207854</v>
      </c>
      <c r="K82">
        <f t="shared" si="30"/>
        <v>2.8796248933168842</v>
      </c>
      <c r="L82">
        <f t="shared" si="30"/>
        <v>2.3810711493842396</v>
      </c>
      <c r="M82">
        <f t="shared" si="30"/>
        <v>3.8919448457244012</v>
      </c>
      <c r="N82">
        <f t="shared" si="30"/>
        <v>3.5710387223938636</v>
      </c>
    </row>
    <row r="85" spans="1:14" x14ac:dyDescent="0.25">
      <c r="C85" t="s">
        <v>6</v>
      </c>
      <c r="D85" t="s">
        <v>7</v>
      </c>
      <c r="E85" t="s">
        <v>11</v>
      </c>
      <c r="F85" t="s">
        <v>10</v>
      </c>
      <c r="G85" t="s">
        <v>8</v>
      </c>
      <c r="H85" t="s">
        <v>9</v>
      </c>
      <c r="I85" t="s">
        <v>0</v>
      </c>
      <c r="J85" t="s">
        <v>1</v>
      </c>
      <c r="K85" t="s">
        <v>2</v>
      </c>
      <c r="L85" t="s">
        <v>3</v>
      </c>
      <c r="M85" t="s">
        <v>4</v>
      </c>
      <c r="N85" t="s">
        <v>5</v>
      </c>
    </row>
    <row r="87" spans="1:14" x14ac:dyDescent="0.25">
      <c r="A87" s="1" t="s">
        <v>83</v>
      </c>
      <c r="C87">
        <v>0.95852028263654909</v>
      </c>
      <c r="D87">
        <v>0.96303217624040649</v>
      </c>
      <c r="E87">
        <v>0.90820909685005424</v>
      </c>
      <c r="F87">
        <v>0.9135952236428907</v>
      </c>
      <c r="G87">
        <v>0.89875312468177615</v>
      </c>
      <c r="H87">
        <v>0.89938003378564135</v>
      </c>
      <c r="I87">
        <v>0.3870835483014794</v>
      </c>
      <c r="J87">
        <v>0.35705577306386049</v>
      </c>
      <c r="K87">
        <v>0.58143105430284292</v>
      </c>
      <c r="L87">
        <v>0.43847482901111395</v>
      </c>
      <c r="M87">
        <v>0.4106369962370327</v>
      </c>
      <c r="N87">
        <v>0.46310018582480295</v>
      </c>
    </row>
    <row r="88" spans="1:14" x14ac:dyDescent="0.25">
      <c r="A88" s="1" t="s">
        <v>142</v>
      </c>
      <c r="C88">
        <v>2.0742794641073168</v>
      </c>
      <c r="D88">
        <v>2.0847698233837568</v>
      </c>
      <c r="E88">
        <v>1.3026696492899283</v>
      </c>
      <c r="F88">
        <v>1.2998815423484535</v>
      </c>
      <c r="G88">
        <v>2.4847182546677313</v>
      </c>
      <c r="H88">
        <v>2.4768380002121493</v>
      </c>
      <c r="I88">
        <v>4.6280608106574466</v>
      </c>
      <c r="J88">
        <v>3.8686283332604532</v>
      </c>
      <c r="K88">
        <v>3.0192494307728963</v>
      </c>
      <c r="L88">
        <v>4.5177796543145181</v>
      </c>
      <c r="M88">
        <v>4.6445846912981521</v>
      </c>
      <c r="N88">
        <v>5.1265629641317192</v>
      </c>
    </row>
    <row r="89" spans="1:14" x14ac:dyDescent="0.25">
      <c r="A89" s="1" t="s">
        <v>143</v>
      </c>
      <c r="C89">
        <v>3.6575575804623268</v>
      </c>
      <c r="D89">
        <v>3.6758449718036039</v>
      </c>
      <c r="E89">
        <v>2.4020163773164946</v>
      </c>
      <c r="F89">
        <v>2.416451336897294</v>
      </c>
      <c r="G89">
        <v>5.3326961814115696</v>
      </c>
      <c r="H89">
        <v>5.3153163579577178</v>
      </c>
      <c r="I89">
        <v>80.382781663562824</v>
      </c>
      <c r="J89">
        <v>10.085336681508675</v>
      </c>
      <c r="K89">
        <v>13.518163516394722</v>
      </c>
      <c r="L89">
        <v>19.3436656349235</v>
      </c>
      <c r="M89">
        <v>33.354501284048823</v>
      </c>
      <c r="N89">
        <v>34.816029686401592</v>
      </c>
    </row>
    <row r="90" spans="1:14" x14ac:dyDescent="0.25">
      <c r="A90" s="1" t="s">
        <v>144</v>
      </c>
      <c r="C90">
        <v>1.4914962898140673</v>
      </c>
      <c r="D90">
        <v>1.4893543530003988</v>
      </c>
      <c r="E90">
        <v>1.5338344964293695</v>
      </c>
      <c r="F90">
        <v>1.5373106558804295</v>
      </c>
      <c r="G90">
        <v>1.6564963719821868</v>
      </c>
      <c r="H90">
        <v>1.6483508132723006</v>
      </c>
      <c r="I90">
        <v>5.9541793841388415</v>
      </c>
      <c r="J90">
        <v>1.8128857697207854</v>
      </c>
      <c r="K90">
        <v>2.8796248933168842</v>
      </c>
      <c r="L90">
        <v>2.3810711493842396</v>
      </c>
      <c r="M90">
        <v>3.8919448457244012</v>
      </c>
      <c r="N90">
        <v>3.5710387223938636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36"/>
  <sheetViews>
    <sheetView tabSelected="1" zoomScale="80" zoomScaleNormal="80" workbookViewId="0">
      <selection activeCell="T114" sqref="T114"/>
    </sheetView>
  </sheetViews>
  <sheetFormatPr defaultColWidth="11.5546875" defaultRowHeight="15" x14ac:dyDescent="0.2"/>
  <cols>
    <col min="3" max="6" width="12.109375" bestFit="1" customWidth="1"/>
    <col min="7" max="7" width="12" bestFit="1" customWidth="1"/>
  </cols>
  <sheetData>
    <row r="1" spans="1:18" x14ac:dyDescent="0.2">
      <c r="B1" s="18"/>
      <c r="C1" s="18"/>
      <c r="D1" s="18"/>
      <c r="E1" s="18"/>
      <c r="F1" s="18"/>
      <c r="G1" s="18"/>
      <c r="I1" s="18"/>
      <c r="J1" s="18"/>
      <c r="K1" s="18"/>
      <c r="L1" s="18"/>
      <c r="M1" s="18"/>
    </row>
    <row r="2" spans="1:18" x14ac:dyDescent="0.2">
      <c r="B2" s="18"/>
      <c r="C2" s="18"/>
      <c r="D2" s="18"/>
      <c r="E2" s="18"/>
      <c r="F2" s="18"/>
      <c r="G2" s="18"/>
      <c r="I2" s="18"/>
      <c r="J2" s="18"/>
      <c r="K2" s="18"/>
      <c r="L2" s="39" t="s">
        <v>191</v>
      </c>
      <c r="M2" s="39"/>
      <c r="N2" s="39"/>
      <c r="O2" s="39"/>
      <c r="P2" s="39"/>
      <c r="Q2" s="39"/>
      <c r="R2" s="39"/>
    </row>
    <row r="3" spans="1:18" x14ac:dyDescent="0.2">
      <c r="A3" t="s">
        <v>87</v>
      </c>
      <c r="C3" s="18" t="s">
        <v>100</v>
      </c>
      <c r="D3" s="18" t="s">
        <v>102</v>
      </c>
      <c r="E3" s="18" t="s">
        <v>103</v>
      </c>
      <c r="F3" s="18" t="s">
        <v>104</v>
      </c>
      <c r="G3" s="18" t="s">
        <v>101</v>
      </c>
      <c r="L3" s="41" t="s">
        <v>148</v>
      </c>
      <c r="M3" s="41" t="s">
        <v>148</v>
      </c>
      <c r="N3" s="41" t="s">
        <v>149</v>
      </c>
      <c r="O3" s="41" t="s">
        <v>149</v>
      </c>
      <c r="P3" s="41" t="s">
        <v>150</v>
      </c>
      <c r="Q3" s="41" t="s">
        <v>151</v>
      </c>
      <c r="R3" s="41" t="s">
        <v>152</v>
      </c>
    </row>
    <row r="4" spans="1:18" x14ac:dyDescent="0.2">
      <c r="A4" s="17" t="s">
        <v>91</v>
      </c>
      <c r="B4" s="18" t="s">
        <v>99</v>
      </c>
      <c r="C4" s="19">
        <v>66</v>
      </c>
      <c r="D4" s="19">
        <v>62.2</v>
      </c>
      <c r="E4" s="19">
        <v>66.75</v>
      </c>
      <c r="F4" s="19">
        <v>62.57</v>
      </c>
      <c r="G4" s="19">
        <v>64.17</v>
      </c>
      <c r="L4" s="42">
        <v>51.13</v>
      </c>
      <c r="M4" s="41"/>
      <c r="N4" s="41"/>
      <c r="O4" s="41"/>
      <c r="P4" s="42">
        <v>55.1</v>
      </c>
      <c r="Q4" s="41"/>
      <c r="R4" s="42">
        <v>65.88</v>
      </c>
    </row>
    <row r="5" spans="1:18" x14ac:dyDescent="0.2">
      <c r="A5" s="17" t="s">
        <v>96</v>
      </c>
      <c r="B5" s="18" t="s">
        <v>99</v>
      </c>
      <c r="C5" s="19">
        <v>1.071</v>
      </c>
      <c r="D5" s="19">
        <v>1.323</v>
      </c>
      <c r="E5" s="19">
        <v>1.0429999999999999</v>
      </c>
      <c r="F5" s="19">
        <v>1.6080000000000001</v>
      </c>
      <c r="G5" s="19">
        <v>1.391</v>
      </c>
      <c r="L5" s="42">
        <v>15.05</v>
      </c>
      <c r="M5" s="41"/>
      <c r="N5" s="41"/>
      <c r="O5" s="41"/>
      <c r="P5" s="42">
        <v>13.73</v>
      </c>
      <c r="Q5" s="41"/>
      <c r="R5" s="42">
        <v>14.82</v>
      </c>
    </row>
    <row r="6" spans="1:18" x14ac:dyDescent="0.2">
      <c r="A6" s="17" t="s">
        <v>90</v>
      </c>
      <c r="B6" s="18" t="s">
        <v>99</v>
      </c>
      <c r="C6" s="19">
        <v>13.27</v>
      </c>
      <c r="D6" s="19">
        <v>13.72</v>
      </c>
      <c r="E6" s="19">
        <v>13.71</v>
      </c>
      <c r="F6" s="19">
        <v>15.17</v>
      </c>
      <c r="G6" s="19">
        <v>14.33</v>
      </c>
      <c r="L6" s="42">
        <v>1.05</v>
      </c>
      <c r="M6" s="41"/>
      <c r="N6" s="41"/>
      <c r="O6" s="41"/>
      <c r="P6" s="42">
        <v>2.3220000000000001</v>
      </c>
      <c r="Q6" s="41"/>
      <c r="R6" s="42">
        <v>0.63370000000000004</v>
      </c>
    </row>
    <row r="7" spans="1:18" x14ac:dyDescent="0.2">
      <c r="A7" s="17" t="s">
        <v>98</v>
      </c>
      <c r="B7" s="18" t="s">
        <v>99</v>
      </c>
      <c r="C7" s="19">
        <v>6.7489999999999997</v>
      </c>
      <c r="D7" s="19">
        <v>6.2759999999999998</v>
      </c>
      <c r="E7" s="19">
        <v>5.0140000000000002</v>
      </c>
      <c r="F7" s="19">
        <v>8.0760000000000005</v>
      </c>
      <c r="G7" s="19">
        <v>6.57</v>
      </c>
      <c r="L7" s="42">
        <v>10.88</v>
      </c>
      <c r="M7" s="41"/>
      <c r="N7" s="41"/>
      <c r="O7" s="41"/>
      <c r="P7" s="42">
        <v>13.63</v>
      </c>
      <c r="Q7" s="41"/>
      <c r="R7" s="42">
        <v>4.2670000000000003</v>
      </c>
    </row>
    <row r="8" spans="1:18" x14ac:dyDescent="0.2">
      <c r="A8" s="17" t="s">
        <v>89</v>
      </c>
      <c r="B8" s="18" t="s">
        <v>99</v>
      </c>
      <c r="C8" s="19">
        <v>0.92300000000000004</v>
      </c>
      <c r="D8" s="19">
        <v>1.4330000000000001</v>
      </c>
      <c r="E8" s="19">
        <v>1.244</v>
      </c>
      <c r="F8" s="19">
        <v>1.8140000000000001</v>
      </c>
      <c r="G8" s="19">
        <v>1.6180000000000001</v>
      </c>
      <c r="L8" s="42">
        <v>6.2770000000000001</v>
      </c>
      <c r="M8" s="41"/>
      <c r="N8" s="41"/>
      <c r="O8" s="41"/>
      <c r="P8" s="42">
        <v>3.577</v>
      </c>
      <c r="Q8" s="41"/>
      <c r="R8" s="42">
        <v>0.93400000000000005</v>
      </c>
    </row>
    <row r="9" spans="1:18" x14ac:dyDescent="0.2">
      <c r="A9" s="17" t="s">
        <v>97</v>
      </c>
      <c r="B9" s="18" t="s">
        <v>99</v>
      </c>
      <c r="C9" s="19">
        <v>0.1153</v>
      </c>
      <c r="D9" s="19">
        <v>7.0529999999999995E-2</v>
      </c>
      <c r="E9" s="19">
        <v>6.5439999999999998E-2</v>
      </c>
      <c r="F9" s="19">
        <v>0.10050000000000001</v>
      </c>
      <c r="G9" s="19">
        <v>7.3819999999999997E-2</v>
      </c>
      <c r="L9" s="42">
        <v>0.1671</v>
      </c>
      <c r="M9" s="41"/>
      <c r="N9" s="41"/>
      <c r="O9" s="41"/>
      <c r="P9" s="42">
        <v>0.19950000000000001</v>
      </c>
      <c r="Q9" s="41"/>
      <c r="R9" s="42">
        <v>4.1959999999999997E-2</v>
      </c>
    </row>
    <row r="10" spans="1:18" x14ac:dyDescent="0.2">
      <c r="A10" s="17" t="s">
        <v>95</v>
      </c>
      <c r="B10" s="18" t="s">
        <v>99</v>
      </c>
      <c r="C10" s="19">
        <v>2.548</v>
      </c>
      <c r="D10" s="19">
        <v>3.02</v>
      </c>
      <c r="E10" s="19">
        <v>2.2639999999999998</v>
      </c>
      <c r="F10" s="19">
        <v>3.6469999999999998</v>
      </c>
      <c r="G10" s="19">
        <v>3.4319999999999999</v>
      </c>
      <c r="L10" s="42">
        <v>10.86</v>
      </c>
      <c r="M10" s="41"/>
      <c r="N10" s="41"/>
      <c r="O10" s="41"/>
      <c r="P10" s="42">
        <v>7.0919999999999996</v>
      </c>
      <c r="Q10" s="41"/>
      <c r="R10" s="42">
        <v>1.9890000000000001</v>
      </c>
    </row>
    <row r="11" spans="1:18" x14ac:dyDescent="0.2">
      <c r="A11" s="17" t="s">
        <v>88</v>
      </c>
      <c r="B11" s="18" t="s">
        <v>99</v>
      </c>
      <c r="C11" s="19">
        <v>1.9510000000000001</v>
      </c>
      <c r="D11" s="19">
        <v>2.2829999999999999</v>
      </c>
      <c r="E11" s="19">
        <v>1.861</v>
      </c>
      <c r="F11" s="19">
        <v>2.7759999999999998</v>
      </c>
      <c r="G11" s="19">
        <v>2.2370000000000001</v>
      </c>
      <c r="L11" s="42">
        <v>2.202</v>
      </c>
      <c r="M11" s="41"/>
      <c r="N11" s="41"/>
      <c r="O11" s="41"/>
      <c r="P11" s="42">
        <v>3.1680000000000001</v>
      </c>
      <c r="Q11" s="41"/>
      <c r="R11" s="42">
        <v>2.8519999999999999</v>
      </c>
    </row>
    <row r="12" spans="1:18" x14ac:dyDescent="0.2">
      <c r="A12" s="17" t="s">
        <v>94</v>
      </c>
      <c r="B12" s="18" t="s">
        <v>99</v>
      </c>
      <c r="C12" s="19">
        <v>5.29</v>
      </c>
      <c r="D12" s="19">
        <v>4.5049999999999999</v>
      </c>
      <c r="E12" s="19">
        <v>6.0659999999999998</v>
      </c>
      <c r="F12" s="19">
        <v>4.0389999999999997</v>
      </c>
      <c r="G12" s="19">
        <v>4.4039999999999999</v>
      </c>
      <c r="L12" s="42">
        <v>0.62109999999999999</v>
      </c>
      <c r="M12" s="41"/>
      <c r="N12" s="41"/>
      <c r="O12" s="41"/>
      <c r="P12" s="42">
        <v>1.7889999999999999</v>
      </c>
      <c r="Q12" s="41"/>
      <c r="R12" s="42">
        <v>5.4989999999999997</v>
      </c>
    </row>
    <row r="13" spans="1:18" x14ac:dyDescent="0.2">
      <c r="A13" s="17" t="s">
        <v>92</v>
      </c>
      <c r="B13" s="18" t="s">
        <v>99</v>
      </c>
      <c r="C13" s="19">
        <v>0.38419999999999999</v>
      </c>
      <c r="D13" s="19">
        <v>0.54420000000000002</v>
      </c>
      <c r="E13" s="19">
        <v>0.40079999999999999</v>
      </c>
      <c r="F13" s="19">
        <v>0.65620000000000001</v>
      </c>
      <c r="G13" s="19">
        <v>0.57799999999999996</v>
      </c>
      <c r="L13" s="42">
        <v>0.129</v>
      </c>
      <c r="M13" s="41"/>
      <c r="N13" s="41"/>
      <c r="O13" s="41"/>
      <c r="P13" s="42">
        <v>0.35449999999999998</v>
      </c>
      <c r="Q13" s="41"/>
      <c r="R13" s="42">
        <v>0.29709999999999998</v>
      </c>
    </row>
    <row r="14" spans="1:18" x14ac:dyDescent="0.2">
      <c r="A14" s="17" t="s">
        <v>93</v>
      </c>
      <c r="B14" s="18" t="s">
        <v>99</v>
      </c>
      <c r="C14" s="19">
        <v>2.1729999999999999E-2</v>
      </c>
      <c r="D14" s="19">
        <v>2.2450000000000001E-2</v>
      </c>
      <c r="E14" s="19">
        <v>2.478E-2</v>
      </c>
      <c r="F14" s="19">
        <v>3.3309999999999999E-2</v>
      </c>
      <c r="G14" s="19">
        <v>3.065E-2</v>
      </c>
      <c r="L14" s="42">
        <v>3.1710000000000002E-2</v>
      </c>
      <c r="M14" s="41"/>
      <c r="N14" s="41"/>
      <c r="O14" s="41"/>
      <c r="P14" s="42">
        <v>9.5619999999999997E-2</v>
      </c>
      <c r="Q14" s="41"/>
      <c r="R14" s="42">
        <v>9.3960000000000002E-2</v>
      </c>
    </row>
    <row r="15" spans="1:18" x14ac:dyDescent="0.2">
      <c r="A15" s="17" t="s">
        <v>141</v>
      </c>
      <c r="B15" s="18" t="s">
        <v>99</v>
      </c>
      <c r="C15" s="19">
        <f>SUM(C4:C14)</f>
        <v>98.323230000000009</v>
      </c>
      <c r="D15" s="19">
        <f>SUM(D4:D14)</f>
        <v>95.39718000000002</v>
      </c>
      <c r="E15" s="19">
        <f>SUM(E4:E14)</f>
        <v>98.443020000000018</v>
      </c>
      <c r="F15" s="19">
        <f>SUM(F4:F14)</f>
        <v>100.49001</v>
      </c>
      <c r="G15" s="19">
        <f>SUM(G4:G14)</f>
        <v>98.834469999999996</v>
      </c>
      <c r="L15" s="42">
        <f>SUM(L4:L14)</f>
        <v>98.39791000000001</v>
      </c>
      <c r="M15" s="41"/>
      <c r="N15" s="41"/>
      <c r="O15" s="41"/>
      <c r="P15" s="42">
        <f>SUM(P4:P14)</f>
        <v>101.05762</v>
      </c>
      <c r="Q15" s="41"/>
      <c r="R15" s="42">
        <f>SUM(R4:R14)</f>
        <v>97.307719999999989</v>
      </c>
    </row>
    <row r="16" spans="1:18" x14ac:dyDescent="0.2">
      <c r="A16" s="17" t="s">
        <v>139</v>
      </c>
      <c r="B16" s="18"/>
      <c r="C16" s="19">
        <v>0.98</v>
      </c>
      <c r="D16" s="19">
        <v>0.97</v>
      </c>
      <c r="E16" s="19">
        <v>1</v>
      </c>
      <c r="F16" s="19">
        <v>0.97</v>
      </c>
      <c r="G16" s="19">
        <v>0.98</v>
      </c>
      <c r="L16" s="39"/>
      <c r="M16" s="39"/>
      <c r="N16" s="39"/>
      <c r="O16" s="39"/>
      <c r="P16" s="39"/>
      <c r="Q16" s="39"/>
      <c r="R16" s="39"/>
    </row>
    <row r="17" spans="1:18" x14ac:dyDescent="0.2">
      <c r="A17" s="17" t="s">
        <v>140</v>
      </c>
      <c r="B17" s="18"/>
      <c r="C17" s="19">
        <v>1.05</v>
      </c>
      <c r="D17" s="19">
        <v>1.04</v>
      </c>
      <c r="E17" s="19">
        <v>1.07</v>
      </c>
      <c r="F17" s="19">
        <v>1.08</v>
      </c>
      <c r="G17" s="19">
        <v>1.08</v>
      </c>
      <c r="L17" s="41"/>
      <c r="M17" s="41"/>
      <c r="N17" s="41"/>
      <c r="O17" s="41"/>
      <c r="P17" s="41"/>
      <c r="Q17" s="41"/>
      <c r="R17" s="41"/>
    </row>
    <row r="18" spans="1:18" x14ac:dyDescent="0.2">
      <c r="A18" s="17" t="s">
        <v>192</v>
      </c>
      <c r="I18" s="16"/>
      <c r="J18" s="16"/>
      <c r="K18" s="16"/>
      <c r="L18" s="43"/>
      <c r="M18" s="43"/>
      <c r="N18" s="43"/>
      <c r="O18" s="43"/>
      <c r="P18" s="43"/>
      <c r="Q18" s="43"/>
      <c r="R18" s="43"/>
    </row>
    <row r="19" spans="1:18" x14ac:dyDescent="0.2">
      <c r="A19" s="17"/>
      <c r="C19" s="19"/>
      <c r="D19" s="19"/>
      <c r="E19" s="19"/>
      <c r="F19" s="19"/>
      <c r="G19" s="19"/>
      <c r="I19" s="16"/>
      <c r="J19" s="16"/>
      <c r="K19" s="16"/>
      <c r="L19" s="41"/>
      <c r="M19" s="41"/>
      <c r="N19" s="41"/>
      <c r="O19" s="41"/>
      <c r="P19" s="41"/>
      <c r="Q19" s="41"/>
      <c r="R19" s="41"/>
    </row>
    <row r="20" spans="1:18" x14ac:dyDescent="0.2">
      <c r="A20" t="s">
        <v>105</v>
      </c>
      <c r="C20" s="23">
        <v>39.916182120338689</v>
      </c>
      <c r="D20" s="23">
        <v>38.70524896323699</v>
      </c>
      <c r="E20" s="23">
        <v>16.201619490138807</v>
      </c>
      <c r="F20" s="23">
        <v>17.892777667557748</v>
      </c>
      <c r="G20" s="23">
        <v>15.283785893039495</v>
      </c>
      <c r="L20" s="44">
        <v>9.130960130826713</v>
      </c>
      <c r="M20" s="44">
        <v>9.1845012554338794</v>
      </c>
      <c r="N20" s="44">
        <v>7.4810582516667372</v>
      </c>
      <c r="O20" s="44">
        <v>7.5100821560060762</v>
      </c>
      <c r="P20" s="44">
        <v>9.3108649275856141</v>
      </c>
      <c r="Q20" s="44">
        <v>9.3290923955166267</v>
      </c>
      <c r="R20" s="44">
        <v>36.515630307981951</v>
      </c>
    </row>
    <row r="21" spans="1:18" x14ac:dyDescent="0.2">
      <c r="A21" t="s">
        <v>106</v>
      </c>
      <c r="C21" s="23">
        <v>2.5002317418357038</v>
      </c>
      <c r="D21" s="23">
        <v>2.7970021605780322</v>
      </c>
      <c r="E21" s="23">
        <v>2.8534426611670911</v>
      </c>
      <c r="F21" s="23">
        <v>3.3257661770778961</v>
      </c>
      <c r="G21" s="23">
        <v>3.0777709349152627</v>
      </c>
      <c r="L21" s="44">
        <v>0.6174285674237342</v>
      </c>
      <c r="M21" s="44">
        <v>0.61751296576188608</v>
      </c>
      <c r="N21" s="44">
        <v>0.65720110684798161</v>
      </c>
      <c r="O21" s="44">
        <v>0.64630223642366869</v>
      </c>
      <c r="P21" s="44">
        <v>2.1760989182422024</v>
      </c>
      <c r="Q21" s="44">
        <v>2.1925032432136731</v>
      </c>
      <c r="R21" s="44">
        <v>1.5210483419433163</v>
      </c>
    </row>
    <row r="22" spans="1:18" x14ac:dyDescent="0.2">
      <c r="A22" t="s">
        <v>107</v>
      </c>
      <c r="C22" s="23">
        <v>16.064440944037468</v>
      </c>
      <c r="D22" s="23">
        <v>10.350850598197697</v>
      </c>
      <c r="E22" s="23">
        <v>11.705943711469072</v>
      </c>
      <c r="F22" s="23">
        <v>11.540053210757614</v>
      </c>
      <c r="G22" s="23">
        <v>13.769185117911464</v>
      </c>
      <c r="I22" s="16"/>
      <c r="J22" s="16"/>
      <c r="K22" s="16"/>
      <c r="L22" s="44">
        <v>36.179560717387105</v>
      </c>
      <c r="M22" s="44">
        <v>35.966828730763837</v>
      </c>
      <c r="N22" s="44">
        <v>34.374801678731082</v>
      </c>
      <c r="O22" s="44">
        <v>34.313058066794952</v>
      </c>
      <c r="P22" s="44">
        <v>33.428278573309676</v>
      </c>
      <c r="Q22" s="44">
        <v>33.960475597150825</v>
      </c>
      <c r="R22" s="44">
        <v>6.5431715166233788</v>
      </c>
    </row>
    <row r="23" spans="1:18" x14ac:dyDescent="0.2">
      <c r="A23" t="s">
        <v>108</v>
      </c>
      <c r="C23" s="24">
        <v>64.171415956577732</v>
      </c>
      <c r="D23" s="24">
        <v>91.915246486732272</v>
      </c>
      <c r="E23" s="24">
        <v>58.331199573634841</v>
      </c>
      <c r="F23" s="24">
        <v>105.89988562257393</v>
      </c>
      <c r="G23" s="24">
        <v>92.052529648357279</v>
      </c>
      <c r="L23" s="45">
        <v>261.61034453089439</v>
      </c>
      <c r="M23" s="45">
        <v>261.58305151767803</v>
      </c>
      <c r="N23" s="45">
        <v>383.37582769244045</v>
      </c>
      <c r="O23" s="45">
        <v>382.90404089070415</v>
      </c>
      <c r="P23" s="45">
        <v>411.49841072849807</v>
      </c>
      <c r="Q23" s="45">
        <v>414.62701071792475</v>
      </c>
      <c r="R23" s="45">
        <v>50.664689901065074</v>
      </c>
    </row>
    <row r="24" spans="1:18" ht="15.75" x14ac:dyDescent="0.2">
      <c r="A24" t="s">
        <v>109</v>
      </c>
      <c r="C24" s="23">
        <v>5.2106439196625249</v>
      </c>
      <c r="D24" s="23">
        <v>17.384597482260826</v>
      </c>
      <c r="E24" s="23">
        <v>11.259118134443703</v>
      </c>
      <c r="F24" s="23">
        <v>23.559987569626802</v>
      </c>
      <c r="G24" s="23">
        <v>25.196673993660955</v>
      </c>
      <c r="I24" s="21"/>
      <c r="J24" s="21"/>
      <c r="K24" s="21"/>
      <c r="L24" s="44">
        <v>92.956983702358329</v>
      </c>
      <c r="M24" s="44">
        <v>92.623461551033202</v>
      </c>
      <c r="N24" s="44">
        <v>59.474409801903349</v>
      </c>
      <c r="O24" s="44">
        <v>59.251401562843206</v>
      </c>
      <c r="P24" s="44">
        <v>15.919957694908279</v>
      </c>
      <c r="Q24" s="44">
        <v>16.103712175269351</v>
      </c>
      <c r="R24" s="44">
        <v>20.080388538466782</v>
      </c>
    </row>
    <row r="25" spans="1:18" ht="15.75" x14ac:dyDescent="0.2">
      <c r="A25" t="s">
        <v>110</v>
      </c>
      <c r="C25" s="23">
        <v>11.210309846051006</v>
      </c>
      <c r="D25" s="23">
        <v>14.432736671171604</v>
      </c>
      <c r="E25" s="23">
        <v>11.118632861842936</v>
      </c>
      <c r="F25" s="23">
        <v>16.136645783340988</v>
      </c>
      <c r="G25" s="23">
        <v>15.457088768644782</v>
      </c>
      <c r="I25" s="21"/>
      <c r="J25" s="21"/>
      <c r="K25" s="21"/>
      <c r="L25" s="44">
        <v>44.618998564291424</v>
      </c>
      <c r="M25" s="44">
        <v>44.432201000014622</v>
      </c>
      <c r="N25" s="44">
        <v>35.721124524811373</v>
      </c>
      <c r="O25" s="44">
        <v>35.624850207018376</v>
      </c>
      <c r="P25" s="44">
        <v>38.190026937575908</v>
      </c>
      <c r="Q25" s="44">
        <v>38.442193642373425</v>
      </c>
      <c r="R25" s="44">
        <v>7.3256334423853104</v>
      </c>
    </row>
    <row r="26" spans="1:18" ht="15.75" x14ac:dyDescent="0.2">
      <c r="A26" t="s">
        <v>111</v>
      </c>
      <c r="C26" s="23">
        <v>11.117316741149862</v>
      </c>
      <c r="D26" s="23">
        <v>18.547957070108534</v>
      </c>
      <c r="E26" s="23">
        <v>14.37914169720502</v>
      </c>
      <c r="F26" s="23">
        <v>15.47389464142903</v>
      </c>
      <c r="G26" s="23">
        <v>17.621187914396824</v>
      </c>
      <c r="I26" s="21"/>
      <c r="J26" s="21"/>
      <c r="K26" s="21"/>
      <c r="L26" s="44">
        <v>70.374952349235642</v>
      </c>
      <c r="M26" s="44">
        <v>69.607591974965374</v>
      </c>
      <c r="N26" s="44">
        <v>36.5639491621736</v>
      </c>
      <c r="O26" s="44">
        <v>36.452165897117816</v>
      </c>
      <c r="P26" s="44">
        <v>11.828539096264857</v>
      </c>
      <c r="Q26" s="44">
        <v>11.594175417382361</v>
      </c>
      <c r="R26" s="44">
        <v>16.549051894935051</v>
      </c>
    </row>
    <row r="27" spans="1:18" ht="15.75" x14ac:dyDescent="0.2">
      <c r="A27" s="20" t="s">
        <v>112</v>
      </c>
      <c r="C27" s="23">
        <v>11.075773837279336</v>
      </c>
      <c r="D27" s="23">
        <v>23.347932488564769</v>
      </c>
      <c r="E27" s="23">
        <v>11.03891443895157</v>
      </c>
      <c r="F27" s="23">
        <v>19.261702191044225</v>
      </c>
      <c r="G27" s="23">
        <v>16.464975612572115</v>
      </c>
      <c r="I27" s="21"/>
      <c r="J27" s="21"/>
      <c r="K27" s="21"/>
      <c r="L27" s="44">
        <v>101.80529336695605</v>
      </c>
      <c r="M27" s="44">
        <v>104.20427649101879</v>
      </c>
      <c r="N27" s="44">
        <v>189.53323546759808</v>
      </c>
      <c r="O27" s="44">
        <v>186.45614317215259</v>
      </c>
      <c r="P27" s="44">
        <v>15.362951334953191</v>
      </c>
      <c r="Q27" s="44">
        <v>13.850545457469854</v>
      </c>
      <c r="R27" s="44">
        <v>44.65454323911392</v>
      </c>
    </row>
    <row r="28" spans="1:18" ht="15.75" x14ac:dyDescent="0.2">
      <c r="A28" t="s">
        <v>113</v>
      </c>
      <c r="C28" s="24">
        <v>98.439565662098858</v>
      </c>
      <c r="D28" s="24">
        <v>128.22537806666691</v>
      </c>
      <c r="E28" s="24">
        <v>96.754093587874436</v>
      </c>
      <c r="F28" s="24">
        <v>144.85276567615071</v>
      </c>
      <c r="G28" s="24">
        <v>124.12331300941322</v>
      </c>
      <c r="I28" s="21"/>
      <c r="J28" s="21"/>
      <c r="K28" s="21"/>
      <c r="L28" s="44">
        <v>77.063546593318534</v>
      </c>
      <c r="M28" s="44">
        <v>76.935944384754251</v>
      </c>
      <c r="N28" s="44">
        <v>104.10781279614221</v>
      </c>
      <c r="O28" s="44">
        <v>103.36370295001275</v>
      </c>
      <c r="P28" s="44">
        <v>133.71775721233377</v>
      </c>
      <c r="Q28" s="44">
        <v>136.09800773860729</v>
      </c>
      <c r="R28" s="44">
        <v>127.07618654529115</v>
      </c>
    </row>
    <row r="29" spans="1:18" ht="15.75" x14ac:dyDescent="0.2">
      <c r="A29" t="s">
        <v>114</v>
      </c>
      <c r="C29" s="23">
        <v>20.206453869359972</v>
      </c>
      <c r="D29" s="23">
        <v>21.61456357642917</v>
      </c>
      <c r="E29" s="23">
        <v>19.280201098566984</v>
      </c>
      <c r="F29" s="23">
        <v>23.960543530404433</v>
      </c>
      <c r="G29" s="23">
        <v>22.441486542861931</v>
      </c>
      <c r="I29" s="21"/>
      <c r="J29" s="21"/>
      <c r="K29" s="21"/>
      <c r="L29" s="44">
        <v>17.359858171353149</v>
      </c>
      <c r="M29" s="44">
        <v>17.487889793204364</v>
      </c>
      <c r="N29" s="44">
        <v>20.021811013210915</v>
      </c>
      <c r="O29" s="44">
        <v>19.988817785200471</v>
      </c>
      <c r="P29" s="44">
        <v>21.704476172527425</v>
      </c>
      <c r="Q29" s="44">
        <v>21.957184405498381</v>
      </c>
      <c r="R29" s="44">
        <v>21.962385442579247</v>
      </c>
    </row>
    <row r="30" spans="1:18" ht="15.75" x14ac:dyDescent="0.2">
      <c r="A30" t="s">
        <v>115</v>
      </c>
      <c r="C30" s="23">
        <v>2.5848438425921061</v>
      </c>
      <c r="D30" s="23">
        <v>0.9989392752764944</v>
      </c>
      <c r="E30" s="23">
        <v>0.75398989993512555</v>
      </c>
      <c r="F30" s="23">
        <v>0.72618985323543783</v>
      </c>
      <c r="G30" s="23">
        <v>0.72027951548424018</v>
      </c>
      <c r="I30" s="21"/>
      <c r="J30" s="21"/>
      <c r="K30" s="21"/>
      <c r="L30" s="44">
        <v>0.79814510873336764</v>
      </c>
      <c r="M30" s="44">
        <v>0.76170954502956167</v>
      </c>
      <c r="N30" s="44">
        <v>0.92535790658973704</v>
      </c>
      <c r="O30" s="44">
        <v>0.97693017481622435</v>
      </c>
      <c r="P30" s="44">
        <v>0.64821720332807231</v>
      </c>
      <c r="Q30" s="44">
        <v>0.51894912720738506</v>
      </c>
      <c r="R30" s="44">
        <v>0.39278190441104321</v>
      </c>
    </row>
    <row r="31" spans="1:18" ht="15.75" x14ac:dyDescent="0.2">
      <c r="A31" t="s">
        <v>116</v>
      </c>
      <c r="C31" s="23">
        <v>184.90224594821794</v>
      </c>
      <c r="D31" s="23">
        <v>193.63298692943962</v>
      </c>
      <c r="E31" s="23">
        <v>309.53258400937193</v>
      </c>
      <c r="F31" s="23">
        <v>208.57015704055985</v>
      </c>
      <c r="G31" s="23">
        <v>244.79801920026023</v>
      </c>
      <c r="I31" s="21"/>
      <c r="J31" s="21"/>
      <c r="K31" s="21"/>
      <c r="L31" s="44">
        <v>19.685319553403883</v>
      </c>
      <c r="M31" s="44">
        <v>19.922557665837381</v>
      </c>
      <c r="N31" s="44">
        <v>14.329768355625708</v>
      </c>
      <c r="O31" s="44">
        <v>14.226485561202955</v>
      </c>
      <c r="P31" s="44">
        <v>46.968672096181443</v>
      </c>
      <c r="Q31" s="44">
        <v>47.408463261990107</v>
      </c>
      <c r="R31" s="44">
        <v>245.51848693616444</v>
      </c>
    </row>
    <row r="32" spans="1:18" ht="15.75" x14ac:dyDescent="0.2">
      <c r="A32" t="s">
        <v>117</v>
      </c>
      <c r="C32" s="23">
        <v>149.62749130637431</v>
      </c>
      <c r="D32" s="23">
        <v>255.70435731824361</v>
      </c>
      <c r="E32" s="23">
        <v>246.68062423303604</v>
      </c>
      <c r="F32" s="23">
        <v>287.30471369391501</v>
      </c>
      <c r="G32" s="23">
        <v>284.81155412100338</v>
      </c>
      <c r="I32" s="21"/>
      <c r="J32" s="21"/>
      <c r="K32" s="21"/>
      <c r="L32" s="44">
        <v>194.37160538736046</v>
      </c>
      <c r="M32" s="44">
        <v>195.28874691378513</v>
      </c>
      <c r="N32" s="44">
        <v>409.20579528020647</v>
      </c>
      <c r="O32" s="44">
        <v>407.28837200979149</v>
      </c>
      <c r="P32" s="44">
        <v>338.12194169961532</v>
      </c>
      <c r="Q32" s="44">
        <v>341.55932860781161</v>
      </c>
      <c r="R32" s="44">
        <v>236.85453740130495</v>
      </c>
    </row>
    <row r="33" spans="1:18" ht="15.75" x14ac:dyDescent="0.2">
      <c r="A33" t="s">
        <v>118</v>
      </c>
      <c r="C33" s="19">
        <v>91.709384538221471</v>
      </c>
      <c r="D33" s="19">
        <v>42.92020236706923</v>
      </c>
      <c r="E33" s="19">
        <v>58.402792279186237</v>
      </c>
      <c r="F33" s="19">
        <v>61.390640783615453</v>
      </c>
      <c r="G33" s="19">
        <v>51.070857233357984</v>
      </c>
      <c r="I33" s="21"/>
      <c r="J33" s="21"/>
      <c r="K33" s="21"/>
      <c r="L33" s="44">
        <v>20.142964988528348</v>
      </c>
      <c r="M33" s="44">
        <v>20.083569003253395</v>
      </c>
      <c r="N33" s="44">
        <v>24.195347390489498</v>
      </c>
      <c r="O33" s="44">
        <v>24.174828483776786</v>
      </c>
      <c r="P33" s="44">
        <v>33.173957973571824</v>
      </c>
      <c r="Q33" s="44">
        <v>33.576472757945353</v>
      </c>
      <c r="R33" s="44">
        <v>24.787528180880091</v>
      </c>
    </row>
    <row r="34" spans="1:18" ht="15.75" x14ac:dyDescent="0.2">
      <c r="A34" t="s">
        <v>119</v>
      </c>
      <c r="C34" s="24">
        <v>328.40748883104436</v>
      </c>
      <c r="D34" s="24">
        <v>313.3101550965128</v>
      </c>
      <c r="E34" s="24">
        <v>515.39090513348515</v>
      </c>
      <c r="F34" s="24">
        <v>294.82705959108557</v>
      </c>
      <c r="G34" s="24">
        <v>354.35199023275993</v>
      </c>
      <c r="I34" s="21"/>
      <c r="J34" s="21"/>
      <c r="K34" s="21"/>
      <c r="L34" s="46">
        <v>88.167351176127681</v>
      </c>
      <c r="M34" s="46">
        <v>87.56289369453954</v>
      </c>
      <c r="N34" s="46">
        <v>93.356484410962921</v>
      </c>
      <c r="O34" s="46">
        <v>93.544428554010651</v>
      </c>
      <c r="P34" s="46">
        <v>186.00623914981441</v>
      </c>
      <c r="Q34" s="46">
        <v>188.75781257064401</v>
      </c>
      <c r="R34" s="46">
        <v>589.957315084264</v>
      </c>
    </row>
    <row r="35" spans="1:18" ht="15.75" x14ac:dyDescent="0.2">
      <c r="A35" t="s">
        <v>120</v>
      </c>
      <c r="C35" s="23">
        <v>26.036805082292087</v>
      </c>
      <c r="D35" s="23">
        <v>30.043605193329249</v>
      </c>
      <c r="E35" s="23">
        <v>37.739130399176553</v>
      </c>
      <c r="F35" s="23">
        <v>41.916353613967921</v>
      </c>
      <c r="G35" s="23">
        <v>34.766725705523136</v>
      </c>
      <c r="I35" s="21"/>
      <c r="J35" s="21"/>
      <c r="K35" s="21"/>
      <c r="L35" s="44">
        <v>7.2902060034522629</v>
      </c>
      <c r="M35" s="44">
        <v>7.2602174018812828</v>
      </c>
      <c r="N35" s="44">
        <v>2.0196727217250388</v>
      </c>
      <c r="O35" s="44">
        <v>2.0341284556167119</v>
      </c>
      <c r="P35" s="44">
        <v>12.262143587305864</v>
      </c>
      <c r="Q35" s="44">
        <v>12.416381418922995</v>
      </c>
      <c r="R35" s="44">
        <v>26.12603336681439</v>
      </c>
    </row>
    <row r="36" spans="1:18" ht="15.75" x14ac:dyDescent="0.2">
      <c r="A36" t="s">
        <v>121</v>
      </c>
      <c r="C36" s="19">
        <v>1.2119895902306497</v>
      </c>
      <c r="D36" s="19">
        <v>0.60102337264167538</v>
      </c>
      <c r="E36" s="19">
        <v>0.59412972502253758</v>
      </c>
      <c r="F36" s="19">
        <v>0.77533139599905321</v>
      </c>
      <c r="G36" s="19">
        <v>0.99059957696830936</v>
      </c>
      <c r="I36" s="21"/>
      <c r="J36" s="21"/>
      <c r="K36" s="21"/>
      <c r="L36" s="44">
        <v>0.42640269093618016</v>
      </c>
      <c r="M36" s="44">
        <v>0.42026881952405742</v>
      </c>
      <c r="N36" s="44">
        <v>1.0493184024152444</v>
      </c>
      <c r="O36" s="44">
        <v>1.0518225073053367</v>
      </c>
      <c r="P36" s="44">
        <v>273.53063907401327</v>
      </c>
      <c r="Q36" s="44">
        <v>257.31941568763119</v>
      </c>
      <c r="R36" s="44">
        <v>2.154701297524952</v>
      </c>
    </row>
    <row r="37" spans="1:18" ht="15.75" x14ac:dyDescent="0.2">
      <c r="A37" t="s">
        <v>122</v>
      </c>
      <c r="C37" s="19">
        <v>9.2071447750680435E-2</v>
      </c>
      <c r="D37" s="19">
        <v>4.1038255103341602E-2</v>
      </c>
      <c r="E37" s="19">
        <v>3.7185497052035693E-2</v>
      </c>
      <c r="F37" s="19">
        <v>4.3407967444918136E-2</v>
      </c>
      <c r="G37" s="19">
        <v>4.8056894125866972E-2</v>
      </c>
      <c r="I37" s="21"/>
      <c r="J37" s="21"/>
      <c r="K37" s="21"/>
      <c r="L37" s="44">
        <v>7.9387534428073003E-2</v>
      </c>
      <c r="M37" s="44">
        <v>7.4593340905875286E-2</v>
      </c>
      <c r="N37" s="44">
        <v>7.6442021297899676E-2</v>
      </c>
      <c r="O37" s="44">
        <v>7.8710329742509119E-2</v>
      </c>
      <c r="P37" s="44">
        <v>0.2434152507961844</v>
      </c>
      <c r="Q37" s="44">
        <v>0.19910107403864885</v>
      </c>
      <c r="R37" s="44">
        <v>8.7001203875143956E-2</v>
      </c>
    </row>
    <row r="38" spans="1:18" ht="15.75" x14ac:dyDescent="0.2">
      <c r="A38" t="s">
        <v>123</v>
      </c>
      <c r="C38" s="19">
        <v>0.12001931410492173</v>
      </c>
      <c r="D38" s="19">
        <v>7.596897379105301E-2</v>
      </c>
      <c r="E38" s="19">
        <v>6.281566445289534E-2</v>
      </c>
      <c r="F38" s="19">
        <v>9.7933146908878554E-2</v>
      </c>
      <c r="G38" s="19">
        <v>6.9742879669014796E-2</v>
      </c>
      <c r="I38" s="21"/>
      <c r="J38" s="21"/>
      <c r="K38" s="21"/>
      <c r="L38" s="44">
        <v>6.4900375357522369E-2</v>
      </c>
      <c r="M38" s="44">
        <v>6.4297218571036208E-2</v>
      </c>
      <c r="N38" s="44">
        <v>7.3417033328666059E-2</v>
      </c>
      <c r="O38" s="44">
        <v>7.4564112334377014E-2</v>
      </c>
      <c r="P38" s="44">
        <v>9.6189508732460891E-2</v>
      </c>
      <c r="Q38" s="44">
        <v>9.9359489535038731E-2</v>
      </c>
      <c r="R38" s="44">
        <v>5.4840783519192922E-2</v>
      </c>
    </row>
    <row r="39" spans="1:18" ht="15.75" x14ac:dyDescent="0.2">
      <c r="A39" t="s">
        <v>124</v>
      </c>
      <c r="C39" s="19">
        <v>3.1815564210338985</v>
      </c>
      <c r="D39" s="19">
        <v>3.2532477166858653</v>
      </c>
      <c r="E39" s="19">
        <v>3.3566375310586669</v>
      </c>
      <c r="F39" s="19">
        <v>3.0632204553938327</v>
      </c>
      <c r="G39" s="19">
        <v>2.8622102025594915</v>
      </c>
      <c r="I39" s="21"/>
      <c r="J39" s="21"/>
      <c r="K39" s="21"/>
      <c r="L39" s="44">
        <v>1.8389739869849802</v>
      </c>
      <c r="M39" s="44">
        <v>2.0619153553411436</v>
      </c>
      <c r="N39" s="44">
        <v>1.0855006133126843</v>
      </c>
      <c r="O39" s="44">
        <v>1.1161860862712591</v>
      </c>
      <c r="P39" s="44">
        <v>2.5957974909959494</v>
      </c>
      <c r="Q39" s="44">
        <v>2.3236220752758676</v>
      </c>
      <c r="R39" s="44">
        <v>7.6166572094671965</v>
      </c>
    </row>
    <row r="40" spans="1:18" ht="15.75" x14ac:dyDescent="0.2">
      <c r="A40" t="s">
        <v>125</v>
      </c>
      <c r="C40" s="19">
        <v>0.24170398270017393</v>
      </c>
      <c r="D40" s="19">
        <v>0.14641743730356752</v>
      </c>
      <c r="E40" s="19">
        <v>9.790559495791383E-2</v>
      </c>
      <c r="F40" s="19">
        <v>0.10044033696258657</v>
      </c>
      <c r="G40" s="19">
        <v>9.7700633280061691E-2</v>
      </c>
      <c r="I40" s="21"/>
      <c r="J40" s="21"/>
      <c r="K40" s="21"/>
      <c r="L40" s="44">
        <v>0.68130072256920926</v>
      </c>
      <c r="M40" s="44">
        <v>0.73692115462112928</v>
      </c>
      <c r="N40" s="44">
        <v>9.1474067628277769E-2</v>
      </c>
      <c r="O40" s="44">
        <v>9.3819123706047877E-2</v>
      </c>
      <c r="P40" s="44">
        <v>0.41459189487689257</v>
      </c>
      <c r="Q40" s="44">
        <v>0.27959493034737387</v>
      </c>
      <c r="R40" s="44">
        <v>0.33955052281037301</v>
      </c>
    </row>
    <row r="41" spans="1:18" ht="15.75" x14ac:dyDescent="0.2">
      <c r="A41" t="s">
        <v>126</v>
      </c>
      <c r="C41" s="19">
        <v>0.72678408430574348</v>
      </c>
      <c r="D41" s="19">
        <v>1.4799225041439041</v>
      </c>
      <c r="E41" s="19">
        <v>1.0455838834291806</v>
      </c>
      <c r="F41" s="19">
        <v>1.3718530662717778</v>
      </c>
      <c r="G41" s="19">
        <v>1.3576082560896241</v>
      </c>
      <c r="I41" s="21"/>
      <c r="J41" s="21"/>
      <c r="K41" s="21"/>
      <c r="L41" s="44">
        <v>0.87915542113142853</v>
      </c>
      <c r="M41" s="44">
        <v>0.89725750833446138</v>
      </c>
      <c r="N41" s="44">
        <v>0.9251457663946403</v>
      </c>
      <c r="O41" s="44">
        <v>0.92800927311840453</v>
      </c>
      <c r="P41" s="44">
        <v>1.1664131889080616</v>
      </c>
      <c r="Q41" s="44">
        <v>1.1513609327698695</v>
      </c>
      <c r="R41" s="44">
        <v>1.1663301422238315</v>
      </c>
    </row>
    <row r="42" spans="1:18" ht="15.75" x14ac:dyDescent="0.2">
      <c r="A42" t="s">
        <v>127</v>
      </c>
      <c r="C42" s="24">
        <v>835.82571052923606</v>
      </c>
      <c r="D42" s="24">
        <v>1046.0210283466822</v>
      </c>
      <c r="E42" s="24">
        <v>1043.9455854018483</v>
      </c>
      <c r="F42" s="24">
        <v>993.68987968444276</v>
      </c>
      <c r="G42" s="24">
        <v>1064.2270028674568</v>
      </c>
      <c r="I42" s="21"/>
      <c r="J42" s="21"/>
      <c r="K42" s="21"/>
      <c r="L42" s="47">
        <v>169.67985344149957</v>
      </c>
      <c r="M42" s="47">
        <v>169.68014773246557</v>
      </c>
      <c r="N42" s="47">
        <v>238.70323511356867</v>
      </c>
      <c r="O42" s="47">
        <v>240.3265021626666</v>
      </c>
      <c r="P42" s="47">
        <v>680.99260303630706</v>
      </c>
      <c r="Q42" s="47">
        <v>689.42770149952707</v>
      </c>
      <c r="R42" s="47">
        <v>1359.1694477886153</v>
      </c>
    </row>
    <row r="43" spans="1:18" ht="15.75" x14ac:dyDescent="0.2">
      <c r="A43" t="s">
        <v>68</v>
      </c>
      <c r="C43" s="23">
        <v>126.54643397993118</v>
      </c>
      <c r="D43" s="23">
        <v>61.669443024016878</v>
      </c>
      <c r="E43" s="23">
        <v>140.69646596061867</v>
      </c>
      <c r="F43" s="23">
        <v>182.64626156567041</v>
      </c>
      <c r="G43" s="23">
        <v>179.80333104330549</v>
      </c>
      <c r="I43" s="21"/>
      <c r="J43" s="21"/>
      <c r="K43" s="21"/>
      <c r="L43" s="48">
        <v>10.489732272404474</v>
      </c>
      <c r="M43" s="48">
        <v>10.552476541607451</v>
      </c>
      <c r="N43" s="48">
        <v>8.4072287019749563</v>
      </c>
      <c r="O43" s="48">
        <v>8.3931754908617666</v>
      </c>
      <c r="P43" s="48">
        <v>24.964740259009048</v>
      </c>
      <c r="Q43" s="48">
        <v>25.306796834940954</v>
      </c>
      <c r="R43" s="44">
        <v>185.39121416466145</v>
      </c>
    </row>
    <row r="44" spans="1:18" ht="15.75" x14ac:dyDescent="0.2">
      <c r="A44" t="s">
        <v>69</v>
      </c>
      <c r="C44" s="23">
        <v>220.9163062059628</v>
      </c>
      <c r="D44" s="23">
        <v>148.52628686994979</v>
      </c>
      <c r="E44" s="23">
        <v>301.17904738959214</v>
      </c>
      <c r="F44" s="23">
        <v>397.40804659221845</v>
      </c>
      <c r="G44" s="23">
        <v>378.4314658269335</v>
      </c>
      <c r="I44" s="21"/>
      <c r="J44" s="21"/>
      <c r="K44" s="21"/>
      <c r="L44" s="48">
        <v>23.147228207263542</v>
      </c>
      <c r="M44" s="48">
        <v>23.286162366406195</v>
      </c>
      <c r="N44" s="48">
        <v>21.267919436805204</v>
      </c>
      <c r="O44" s="48">
        <v>21.3188016765891</v>
      </c>
      <c r="P44" s="48">
        <v>53.076706114849763</v>
      </c>
      <c r="Q44" s="48">
        <v>53.825340872563601</v>
      </c>
      <c r="R44" s="44">
        <v>443.51546754332344</v>
      </c>
    </row>
    <row r="45" spans="1:18" ht="15.75" x14ac:dyDescent="0.2">
      <c r="A45" t="s">
        <v>70</v>
      </c>
      <c r="C45" s="19">
        <v>28.625387251879481</v>
      </c>
      <c r="D45" s="19">
        <v>16.978840160936723</v>
      </c>
      <c r="E45" s="19">
        <v>33.130077578121195</v>
      </c>
      <c r="F45" s="19">
        <v>43.034882712814323</v>
      </c>
      <c r="G45" s="19">
        <v>40.655434243992389</v>
      </c>
      <c r="I45" s="21"/>
      <c r="J45" s="21"/>
      <c r="K45" s="21"/>
      <c r="L45" s="48">
        <v>3.0231250323917331</v>
      </c>
      <c r="M45" s="48">
        <v>3.0277495666558489</v>
      </c>
      <c r="N45" s="48">
        <v>3.2576911075458796</v>
      </c>
      <c r="O45" s="48">
        <v>3.2599677068745758</v>
      </c>
      <c r="P45" s="48">
        <v>6.8709797527002712</v>
      </c>
      <c r="Q45" s="48">
        <v>6.9789964733177507</v>
      </c>
      <c r="R45" s="44">
        <v>56.391543784496932</v>
      </c>
    </row>
    <row r="46" spans="1:18" ht="15.75" x14ac:dyDescent="0.2">
      <c r="A46" t="s">
        <v>71</v>
      </c>
      <c r="C46" s="23">
        <v>105.67074114240383</v>
      </c>
      <c r="D46" s="23">
        <v>65.865010294104536</v>
      </c>
      <c r="E46" s="23">
        <v>115.72782335224257</v>
      </c>
      <c r="F46" s="23">
        <v>151.97228643995811</v>
      </c>
      <c r="G46" s="23">
        <v>140.73707834898866</v>
      </c>
      <c r="I46" s="21"/>
      <c r="J46" s="21"/>
      <c r="K46" s="21"/>
      <c r="L46" s="48">
        <v>12.898245910904212</v>
      </c>
      <c r="M46" s="48">
        <v>12.92390238730426</v>
      </c>
      <c r="N46" s="48">
        <v>15.596345250947952</v>
      </c>
      <c r="O46" s="48">
        <v>15.620366853816101</v>
      </c>
      <c r="P46" s="48">
        <v>28.612582925164194</v>
      </c>
      <c r="Q46" s="48">
        <v>28.917237609020457</v>
      </c>
      <c r="R46" s="44">
        <v>205.6227421029439</v>
      </c>
    </row>
    <row r="47" spans="1:18" ht="15.75" x14ac:dyDescent="0.2">
      <c r="A47" t="s">
        <v>73</v>
      </c>
      <c r="C47" s="19">
        <v>21.117183221362787</v>
      </c>
      <c r="D47" s="19">
        <v>13.186031769507466</v>
      </c>
      <c r="E47" s="19">
        <v>20.10486811024882</v>
      </c>
      <c r="F47" s="19">
        <v>25.386742961221398</v>
      </c>
      <c r="G47" s="19">
        <v>22.64198624965886</v>
      </c>
      <c r="I47" s="21"/>
      <c r="J47" s="21"/>
      <c r="K47" s="21"/>
      <c r="L47" s="48">
        <v>3.2646770104180933</v>
      </c>
      <c r="M47" s="48">
        <v>3.2676788570543098</v>
      </c>
      <c r="N47" s="48">
        <v>4.1664066123548089</v>
      </c>
      <c r="O47" s="48">
        <v>4.1683637607197568</v>
      </c>
      <c r="P47" s="48">
        <v>6.4862395800615769</v>
      </c>
      <c r="Q47" s="48">
        <v>6.5960305926982192</v>
      </c>
      <c r="R47" s="44">
        <v>25.860277257150347</v>
      </c>
    </row>
    <row r="48" spans="1:18" ht="15.75" x14ac:dyDescent="0.2">
      <c r="A48" t="s">
        <v>74</v>
      </c>
      <c r="C48" s="19">
        <v>2.3835657360445959</v>
      </c>
      <c r="D48" s="19">
        <v>2.3308134351083698</v>
      </c>
      <c r="E48" s="19">
        <v>2.4920788497917288</v>
      </c>
      <c r="F48" s="19">
        <v>2.9092509113371046</v>
      </c>
      <c r="G48" s="19">
        <v>2.8823508656331085</v>
      </c>
      <c r="I48" s="21"/>
      <c r="J48" s="21"/>
      <c r="K48" s="21"/>
      <c r="L48" s="48">
        <v>1.0910062222425234</v>
      </c>
      <c r="M48" s="48">
        <v>1.0963928906578018</v>
      </c>
      <c r="N48" s="48">
        <v>1.3082853489176982</v>
      </c>
      <c r="O48" s="48">
        <v>1.3128033464907523</v>
      </c>
      <c r="P48" s="48">
        <v>1.9414685564348093</v>
      </c>
      <c r="Q48" s="48">
        <v>1.9709315037224706</v>
      </c>
      <c r="R48" s="48">
        <v>2.2217921256917648</v>
      </c>
    </row>
    <row r="49" spans="1:18" ht="15.75" x14ac:dyDescent="0.2">
      <c r="A49" t="s">
        <v>75</v>
      </c>
      <c r="C49" s="19">
        <v>19.723929006019052</v>
      </c>
      <c r="D49" s="19">
        <v>11.390734521919468</v>
      </c>
      <c r="E49" s="19">
        <v>15.016899191890825</v>
      </c>
      <c r="F49" s="19">
        <v>18.479341580658996</v>
      </c>
      <c r="G49" s="19">
        <v>15.991033346022308</v>
      </c>
      <c r="I49" s="21"/>
      <c r="J49" s="21"/>
      <c r="K49" s="21"/>
      <c r="L49" s="48">
        <v>3.7090175610839875</v>
      </c>
      <c r="M49" s="48">
        <v>3.707308508129838</v>
      </c>
      <c r="N49" s="48">
        <v>4.6549913542694483</v>
      </c>
      <c r="O49" s="48">
        <v>4.6299187302842411</v>
      </c>
      <c r="P49" s="48">
        <v>6.7241002494192905</v>
      </c>
      <c r="Q49" s="48">
        <v>6.8048912241194994</v>
      </c>
      <c r="R49" s="48">
        <v>11.907251114665938</v>
      </c>
    </row>
    <row r="50" spans="1:18" ht="15.75" x14ac:dyDescent="0.2">
      <c r="A50" t="s">
        <v>76</v>
      </c>
      <c r="C50" s="19">
        <v>3.0649853412975259</v>
      </c>
      <c r="D50" s="19">
        <v>1.6461759309784483</v>
      </c>
      <c r="E50" s="19">
        <v>2.2095325113726032</v>
      </c>
      <c r="F50" s="19">
        <v>2.5516798815911601</v>
      </c>
      <c r="G50" s="19">
        <v>2.1495596374522754</v>
      </c>
      <c r="I50" s="21"/>
      <c r="J50" s="21"/>
      <c r="K50" s="21"/>
      <c r="L50" s="48">
        <v>0.61449664617362532</v>
      </c>
      <c r="M50" s="48">
        <v>0.61576673688905792</v>
      </c>
      <c r="N50" s="48">
        <v>0.74077802556477712</v>
      </c>
      <c r="O50" s="48">
        <v>0.73856897292501655</v>
      </c>
      <c r="P50" s="48">
        <v>1.0437031782256156</v>
      </c>
      <c r="Q50" s="48">
        <v>1.0602247281989159</v>
      </c>
      <c r="R50" s="48">
        <v>1.2537825995774363</v>
      </c>
    </row>
    <row r="51" spans="1:18" ht="15.75" x14ac:dyDescent="0.2">
      <c r="A51" t="s">
        <v>77</v>
      </c>
      <c r="C51" s="19">
        <v>17.963194381847206</v>
      </c>
      <c r="D51" s="19">
        <v>8.8681898125986578</v>
      </c>
      <c r="E51" s="19">
        <v>12.378869062663574</v>
      </c>
      <c r="F51" s="19">
        <v>13.501211244915005</v>
      </c>
      <c r="G51" s="19">
        <v>11.188544283641786</v>
      </c>
      <c r="I51" s="21"/>
      <c r="J51" s="21"/>
      <c r="K51" s="21"/>
      <c r="L51" s="48">
        <v>3.8193343226497398</v>
      </c>
      <c r="M51" s="48">
        <v>3.7964772233249562</v>
      </c>
      <c r="N51" s="48">
        <v>4.5338752841661583</v>
      </c>
      <c r="O51" s="48">
        <v>4.5187129860841022</v>
      </c>
      <c r="P51" s="48">
        <v>6.2855644983125352</v>
      </c>
      <c r="Q51" s="48">
        <v>6.3899815270899438</v>
      </c>
      <c r="R51" s="48">
        <v>5.6496978419516459</v>
      </c>
    </row>
    <row r="52" spans="1:18" ht="15.75" x14ac:dyDescent="0.2">
      <c r="A52" t="s">
        <v>78</v>
      </c>
      <c r="C52" s="19">
        <v>3.6508765686978784</v>
      </c>
      <c r="D52" s="19">
        <v>1.6821774118164523</v>
      </c>
      <c r="E52" s="19">
        <v>2.4154471459797948</v>
      </c>
      <c r="F52" s="19">
        <v>2.5017038150645368</v>
      </c>
      <c r="G52" s="19">
        <v>2.0592870400478573</v>
      </c>
      <c r="I52" s="21"/>
      <c r="J52" s="21"/>
      <c r="K52" s="21"/>
      <c r="L52" s="48">
        <v>0.80490435423339424</v>
      </c>
      <c r="M52" s="48">
        <v>0.80165891372077192</v>
      </c>
      <c r="N52" s="48">
        <v>0.95627318960328866</v>
      </c>
      <c r="O52" s="48">
        <v>0.95344058249543406</v>
      </c>
      <c r="P52" s="48">
        <v>1.3158902362948837</v>
      </c>
      <c r="Q52" s="48">
        <v>1.3343763771290351</v>
      </c>
      <c r="R52" s="48">
        <v>0.96680404901803574</v>
      </c>
    </row>
    <row r="53" spans="1:18" ht="15.75" x14ac:dyDescent="0.2">
      <c r="A53" t="s">
        <v>79</v>
      </c>
      <c r="C53" s="19">
        <v>9.8311421639586989</v>
      </c>
      <c r="D53" s="19">
        <v>4.2174062193777067</v>
      </c>
      <c r="E53" s="19">
        <v>6.340565400575386</v>
      </c>
      <c r="F53" s="19">
        <v>6.0322954186429252</v>
      </c>
      <c r="G53" s="19">
        <v>5.056951815235192</v>
      </c>
      <c r="I53" s="21"/>
      <c r="J53" s="21"/>
      <c r="K53" s="21"/>
      <c r="L53" s="48">
        <v>2.2233064019575011</v>
      </c>
      <c r="M53" s="48">
        <v>2.220715255432101</v>
      </c>
      <c r="N53" s="48">
        <v>2.6704410265293572</v>
      </c>
      <c r="O53" s="48">
        <v>2.6617310540026082</v>
      </c>
      <c r="P53" s="48">
        <v>3.6140098258913445</v>
      </c>
      <c r="Q53" s="48">
        <v>3.6656837408455956</v>
      </c>
      <c r="R53" s="48">
        <v>2.2976021969993781</v>
      </c>
    </row>
    <row r="54" spans="1:18" ht="15.75" x14ac:dyDescent="0.2">
      <c r="A54" t="s">
        <v>80</v>
      </c>
      <c r="C54" s="19">
        <v>1.4437419395452784</v>
      </c>
      <c r="D54" s="19">
        <v>0.56791580463175206</v>
      </c>
      <c r="E54" s="19">
        <v>0.88920874998224309</v>
      </c>
      <c r="F54" s="19">
        <v>0.74499775032129534</v>
      </c>
      <c r="G54" s="19">
        <v>0.66673241555387586</v>
      </c>
      <c r="I54" s="21"/>
      <c r="J54" s="21"/>
      <c r="K54" s="21"/>
      <c r="L54" s="48">
        <v>0.32748275812090638</v>
      </c>
      <c r="M54" s="48">
        <v>0.32683697988524385</v>
      </c>
      <c r="N54" s="48">
        <v>0.39209356481250807</v>
      </c>
      <c r="O54" s="48">
        <v>0.3912611338319178</v>
      </c>
      <c r="P54" s="48">
        <v>0.52791640241530369</v>
      </c>
      <c r="Q54" s="48">
        <v>0.54103685693986758</v>
      </c>
      <c r="R54" s="48">
        <v>0.29306396352903469</v>
      </c>
    </row>
    <row r="55" spans="1:18" ht="15.75" x14ac:dyDescent="0.2">
      <c r="A55" t="s">
        <v>81</v>
      </c>
      <c r="C55" s="19">
        <v>9.0003642481379398</v>
      </c>
      <c r="D55" s="19">
        <v>3.27229844546686</v>
      </c>
      <c r="E55" s="19">
        <v>5.2172901234266726</v>
      </c>
      <c r="F55" s="19">
        <v>3.9278682430121168</v>
      </c>
      <c r="G55" s="19">
        <v>3.7044101424739044</v>
      </c>
      <c r="I55" s="21"/>
      <c r="J55" s="21"/>
      <c r="K55" s="21"/>
      <c r="L55" s="48">
        <v>2.0571871713355945</v>
      </c>
      <c r="M55" s="48">
        <v>2.0591964647136094</v>
      </c>
      <c r="N55" s="48">
        <v>2.5105997017846984</v>
      </c>
      <c r="O55" s="48">
        <v>2.4914307796080282</v>
      </c>
      <c r="P55" s="48">
        <v>3.3580007270171279</v>
      </c>
      <c r="Q55" s="48">
        <v>3.4151409754855075</v>
      </c>
      <c r="R55" s="48">
        <v>1.6543473234448962</v>
      </c>
    </row>
    <row r="56" spans="1:18" ht="15.75" x14ac:dyDescent="0.2">
      <c r="A56" t="s">
        <v>82</v>
      </c>
      <c r="C56" s="19">
        <v>1.2818253132421513</v>
      </c>
      <c r="D56" s="19">
        <v>0.44517359901554626</v>
      </c>
      <c r="E56" s="19">
        <v>0.70518441586419289</v>
      </c>
      <c r="F56" s="19">
        <v>0.49571069993760292</v>
      </c>
      <c r="G56" s="19">
        <v>0.50525381151947713</v>
      </c>
      <c r="I56" s="21"/>
      <c r="J56" s="21"/>
      <c r="K56" s="21"/>
      <c r="L56" s="48">
        <v>0.30232413206373288</v>
      </c>
      <c r="M56" s="48">
        <v>0.30026808020824358</v>
      </c>
      <c r="N56" s="48">
        <v>0.37329645311232862</v>
      </c>
      <c r="O56" s="48">
        <v>0.370879487643554</v>
      </c>
      <c r="P56" s="48">
        <v>0.49496224669445482</v>
      </c>
      <c r="Q56" s="48">
        <v>0.50444942958252148</v>
      </c>
      <c r="R56" s="48">
        <v>0.23096617317469087</v>
      </c>
    </row>
    <row r="57" spans="1:18" ht="15.75" x14ac:dyDescent="0.2">
      <c r="A57" t="s">
        <v>128</v>
      </c>
      <c r="C57" s="19">
        <v>9.2175746107481107</v>
      </c>
      <c r="D57" s="19">
        <v>8.0086466544328303</v>
      </c>
      <c r="E57" s="19">
        <v>14.052774789927383</v>
      </c>
      <c r="F57" s="19">
        <v>7.8468699451798924</v>
      </c>
      <c r="G57" s="19">
        <v>9.586166705146633</v>
      </c>
      <c r="I57" s="21"/>
      <c r="J57" s="21"/>
      <c r="K57" s="21"/>
      <c r="L57" s="48">
        <v>2.3595050342626944</v>
      </c>
      <c r="M57" s="48">
        <v>2.3530214928759445</v>
      </c>
      <c r="N57" s="48">
        <v>2.6643653745586389</v>
      </c>
      <c r="O57" s="48">
        <v>2.6485133483047441</v>
      </c>
      <c r="P57" s="48">
        <v>4.7880008499139359</v>
      </c>
      <c r="Q57" s="48">
        <v>4.8781251329936905</v>
      </c>
      <c r="R57" s="48">
        <v>14.708699884422161</v>
      </c>
    </row>
    <row r="58" spans="1:18" ht="15.75" x14ac:dyDescent="0.2">
      <c r="A58" t="s">
        <v>129</v>
      </c>
      <c r="C58" s="19">
        <v>1.638431065425179</v>
      </c>
      <c r="D58" s="19">
        <v>1.5524520127039565</v>
      </c>
      <c r="E58" s="19">
        <v>2.2392552128706829</v>
      </c>
      <c r="F58" s="19">
        <v>2.5687574632753853</v>
      </c>
      <c r="G58" s="19">
        <v>1.7461091919699168</v>
      </c>
      <c r="I58" s="22"/>
      <c r="J58" s="21"/>
      <c r="L58" s="48">
        <f>1.03*L57</f>
        <v>2.4302901852905752</v>
      </c>
      <c r="M58" s="48">
        <f t="shared" ref="M58:R58" si="0">1.03*M57</f>
        <v>2.4236121376622228</v>
      </c>
      <c r="N58" s="48">
        <f t="shared" si="0"/>
        <v>2.744296335795398</v>
      </c>
      <c r="O58" s="48">
        <f t="shared" si="0"/>
        <v>2.7279687487538866</v>
      </c>
      <c r="P58" s="48">
        <f t="shared" si="0"/>
        <v>4.9316408754113539</v>
      </c>
      <c r="Q58" s="48">
        <f t="shared" si="0"/>
        <v>5.0244688869835015</v>
      </c>
      <c r="R58" s="48">
        <f t="shared" si="0"/>
        <v>15.149960880954827</v>
      </c>
    </row>
    <row r="59" spans="1:18" ht="15.75" x14ac:dyDescent="0.2">
      <c r="A59" t="s">
        <v>130</v>
      </c>
      <c r="C59" s="19">
        <v>0.39669988288387087</v>
      </c>
      <c r="D59" s="19">
        <v>0.32542921338465175</v>
      </c>
      <c r="E59" s="19">
        <v>0.21073891460881705</v>
      </c>
      <c r="F59" s="19">
        <v>0.13511662679750408</v>
      </c>
      <c r="G59" s="19">
        <v>0.19435059386774878</v>
      </c>
      <c r="I59" s="21"/>
      <c r="J59" s="21"/>
      <c r="K59" s="21"/>
      <c r="L59" s="48">
        <v>0.45494999801084485</v>
      </c>
      <c r="M59" s="48">
        <v>0.45337475593623794</v>
      </c>
      <c r="N59" s="48">
        <v>0.12722503527324225</v>
      </c>
      <c r="O59" s="48">
        <v>0.12625423292167523</v>
      </c>
      <c r="P59" s="48">
        <v>0.76326331561310679</v>
      </c>
      <c r="Q59" s="48">
        <v>0.77768019495131935</v>
      </c>
      <c r="R59" s="48">
        <v>0.85062609948636159</v>
      </c>
    </row>
    <row r="60" spans="1:18" ht="15.75" x14ac:dyDescent="0.2">
      <c r="A60" t="s">
        <v>131</v>
      </c>
      <c r="C60" s="19">
        <v>0.82386964006388197</v>
      </c>
      <c r="D60" s="19">
        <v>0.97868407459636764</v>
      </c>
      <c r="E60" s="19">
        <v>1.3894155135894708</v>
      </c>
      <c r="F60" s="19">
        <v>0.98923976810845105</v>
      </c>
      <c r="G60" s="19">
        <v>1.131588295479206</v>
      </c>
      <c r="J60" s="21"/>
      <c r="K60" s="21"/>
      <c r="L60" s="48">
        <v>0.2408079463855364</v>
      </c>
      <c r="M60" s="48">
        <v>0.23918558178954266</v>
      </c>
      <c r="N60" s="48">
        <v>1.2253481153984349</v>
      </c>
      <c r="O60" s="48">
        <v>1.2299532219327454</v>
      </c>
      <c r="P60" s="48">
        <v>0.43295895276100782</v>
      </c>
      <c r="Q60" s="48">
        <v>0.44013741721345889</v>
      </c>
      <c r="R60" s="48">
        <v>0.33286447451868156</v>
      </c>
    </row>
    <row r="61" spans="1:18" ht="15.75" x14ac:dyDescent="0.2">
      <c r="A61" t="s">
        <v>132</v>
      </c>
      <c r="C61" s="19">
        <v>44.544188430804347</v>
      </c>
      <c r="D61" s="19">
        <v>34.36911227680168</v>
      </c>
      <c r="E61" s="19">
        <v>50.98395932310445</v>
      </c>
      <c r="F61" s="19">
        <v>29.021786548599604</v>
      </c>
      <c r="G61" s="19">
        <v>47.757823549602691</v>
      </c>
      <c r="J61" s="21"/>
      <c r="K61" s="21"/>
      <c r="L61" s="48">
        <v>8.9967892778976641E-2</v>
      </c>
      <c r="M61" s="48">
        <v>9.0032364406793228E-2</v>
      </c>
      <c r="N61" s="48">
        <v>4.4819375836916947E-2</v>
      </c>
      <c r="O61" s="48">
        <v>4.4596005501303632E-2</v>
      </c>
      <c r="P61" s="48">
        <v>0.25670329860775859</v>
      </c>
      <c r="Q61" s="48">
        <v>0.23274422322484581</v>
      </c>
      <c r="R61" s="48">
        <v>1.2988150883864125</v>
      </c>
    </row>
    <row r="62" spans="1:18" ht="15.75" x14ac:dyDescent="0.2">
      <c r="A62" t="s">
        <v>133</v>
      </c>
      <c r="C62" s="19">
        <v>1.4470528405183411E-2</v>
      </c>
      <c r="D62" s="19">
        <v>1.3745721004443946E-2</v>
      </c>
      <c r="E62" s="19">
        <v>5.6073069171846063E-3</v>
      </c>
      <c r="F62" s="19">
        <v>8.9530974254883912E-3</v>
      </c>
      <c r="G62" s="19">
        <v>1.038631997103516E-2</v>
      </c>
      <c r="J62" s="21"/>
      <c r="K62" s="21"/>
      <c r="L62" s="48">
        <v>7.3944212001722347</v>
      </c>
      <c r="M62" s="48">
        <v>7.6616926294845449</v>
      </c>
      <c r="N62" s="48">
        <v>5.0046501830381587</v>
      </c>
      <c r="O62" s="48">
        <v>4.9389287112159028</v>
      </c>
      <c r="P62" s="48">
        <v>11.448757277255805</v>
      </c>
      <c r="Q62" s="48">
        <v>10.365466574301212</v>
      </c>
      <c r="R62" s="48">
        <v>42.614000422144201</v>
      </c>
    </row>
    <row r="63" spans="1:18" ht="15.75" x14ac:dyDescent="0.2">
      <c r="A63" t="s">
        <v>193</v>
      </c>
      <c r="C63" s="23">
        <v>33.011291588408902</v>
      </c>
      <c r="D63" s="23">
        <v>8.9283794939135444</v>
      </c>
      <c r="E63" s="23">
        <v>64.104916059672462</v>
      </c>
      <c r="F63" s="23">
        <v>73.042345019262456</v>
      </c>
      <c r="G63" s="23">
        <v>126.27379223586701</v>
      </c>
      <c r="J63" s="21"/>
      <c r="K63" s="21"/>
      <c r="L63" s="48">
        <v>2.3961153689817823E-2</v>
      </c>
      <c r="M63" s="48">
        <v>2.403915747751063E-2</v>
      </c>
      <c r="N63" s="48">
        <v>1.4968532446043431E-2</v>
      </c>
      <c r="O63" s="48">
        <v>1.4226689390326185E-2</v>
      </c>
      <c r="P63" s="48">
        <v>5.4509502803289679E-2</v>
      </c>
      <c r="Q63" s="48">
        <v>4.565410327041311E-2</v>
      </c>
      <c r="R63" s="48">
        <v>2.9214594303480407E-2</v>
      </c>
    </row>
    <row r="64" spans="1:18" ht="15.75" x14ac:dyDescent="0.2">
      <c r="A64" t="s">
        <v>134</v>
      </c>
      <c r="C64" s="19">
        <v>0.59435543829188908</v>
      </c>
      <c r="D64" s="19">
        <v>0.76129769568414918</v>
      </c>
      <c r="E64" s="19">
        <v>1.3794423983131263</v>
      </c>
      <c r="F64" s="19">
        <v>0.77105500697296592</v>
      </c>
      <c r="G64" s="19">
        <v>1.0986489522730107</v>
      </c>
      <c r="J64" s="22"/>
      <c r="K64" s="21"/>
      <c r="L64" s="48">
        <v>2.2041293428222763</v>
      </c>
      <c r="M64" s="48">
        <v>2.1913661538003839</v>
      </c>
      <c r="N64" s="48">
        <v>1.3123762718018697</v>
      </c>
      <c r="O64" s="48">
        <v>1.3020003612428206</v>
      </c>
      <c r="P64" s="48">
        <v>5.9838772582172295</v>
      </c>
      <c r="Q64" s="48">
        <v>6.0787829595292191</v>
      </c>
      <c r="R64" s="44">
        <v>109.68798883876799</v>
      </c>
    </row>
    <row r="65" spans="1:18" ht="15.75" x14ac:dyDescent="0.2">
      <c r="A65" t="s">
        <v>194</v>
      </c>
      <c r="C65" s="24">
        <f>C34+C35+C44+C33</f>
        <v>667.06998465752065</v>
      </c>
      <c r="D65" s="24">
        <f t="shared" ref="D65:G65" si="1">D34+D35+D44+D33</f>
        <v>534.80024952686108</v>
      </c>
      <c r="E65" s="24">
        <f t="shared" si="1"/>
        <v>912.71187520144008</v>
      </c>
      <c r="F65" s="24">
        <f t="shared" si="1"/>
        <v>795.54210058088745</v>
      </c>
      <c r="G65" s="24">
        <f t="shared" si="1"/>
        <v>818.62103899857459</v>
      </c>
      <c r="J65" s="21"/>
      <c r="K65" s="21"/>
      <c r="L65" s="48">
        <v>0.5024232452755929</v>
      </c>
      <c r="M65" s="48">
        <v>0.50760040414744878</v>
      </c>
      <c r="N65" s="48">
        <v>0.48068484511742893</v>
      </c>
      <c r="O65" s="48">
        <v>0.47952936734424878</v>
      </c>
      <c r="P65" s="48">
        <v>1.6929025281064602</v>
      </c>
      <c r="Q65" s="48">
        <v>1.7302373513330387</v>
      </c>
      <c r="R65" s="48">
        <v>2.4527764946050876</v>
      </c>
    </row>
    <row r="67" spans="1:18" ht="15.75" x14ac:dyDescent="0.25">
      <c r="A67" s="1" t="s">
        <v>142</v>
      </c>
      <c r="B67" s="1"/>
      <c r="C67" s="23">
        <v>3.8686283332604501</v>
      </c>
      <c r="D67" s="23">
        <v>3.0192494307728963</v>
      </c>
      <c r="E67" s="23">
        <v>4.5177796543145181</v>
      </c>
      <c r="F67" s="23">
        <v>4.6445846912981521</v>
      </c>
      <c r="G67" s="23">
        <v>5.1265629641317192</v>
      </c>
    </row>
    <row r="68" spans="1:18" ht="15.75" x14ac:dyDescent="0.25">
      <c r="A68" s="1" t="s">
        <v>143</v>
      </c>
      <c r="B68" s="1"/>
      <c r="C68" s="23">
        <v>10.085336681508675</v>
      </c>
      <c r="D68" s="23">
        <v>13.518163516394722</v>
      </c>
      <c r="E68" s="23">
        <v>19.3436656349235</v>
      </c>
      <c r="F68" s="23">
        <v>33.354501284048823</v>
      </c>
      <c r="G68" s="23">
        <v>34.816029686401592</v>
      </c>
    </row>
    <row r="69" spans="1:18" ht="15.75" x14ac:dyDescent="0.25">
      <c r="A69" s="1" t="s">
        <v>144</v>
      </c>
      <c r="B69" s="1"/>
      <c r="C69" s="23">
        <v>1.8128857697207854</v>
      </c>
      <c r="D69" s="23">
        <v>2.8796248933168842</v>
      </c>
      <c r="E69" s="23">
        <v>2.3810711493842396</v>
      </c>
      <c r="F69" s="23">
        <v>3.8919448457244012</v>
      </c>
      <c r="G69" s="23">
        <v>3.5710387223938636</v>
      </c>
    </row>
    <row r="70" spans="1:18" ht="15.75" x14ac:dyDescent="0.25">
      <c r="A70" s="1" t="s">
        <v>83</v>
      </c>
      <c r="B70" s="1"/>
      <c r="C70" s="19">
        <v>0.35705577306386049</v>
      </c>
      <c r="D70" s="19">
        <v>0.58143105430284292</v>
      </c>
      <c r="E70" s="19">
        <v>0.43847482901111395</v>
      </c>
      <c r="F70" s="19">
        <v>0.4106369962370327</v>
      </c>
      <c r="G70" s="19">
        <v>0.46310018582480295</v>
      </c>
    </row>
    <row r="71" spans="1:18" ht="15.75" x14ac:dyDescent="0.25">
      <c r="A71" s="1" t="s">
        <v>65</v>
      </c>
      <c r="C71" s="23">
        <f>C34/C57</f>
        <v>35.628405811666156</v>
      </c>
      <c r="D71" s="23">
        <f t="shared" ref="D71:G71" si="2">D34/D57</f>
        <v>39.121485641159346</v>
      </c>
      <c r="E71" s="23">
        <f t="shared" si="2"/>
        <v>36.675383533713372</v>
      </c>
      <c r="F71" s="23">
        <f t="shared" si="2"/>
        <v>37.572568635751303</v>
      </c>
      <c r="G71" s="23">
        <f t="shared" si="2"/>
        <v>36.964930939758744</v>
      </c>
    </row>
    <row r="72" spans="1:18" ht="15.75" x14ac:dyDescent="0.25">
      <c r="A72" s="1" t="s">
        <v>64</v>
      </c>
      <c r="C72" s="23">
        <f>C35/C58</f>
        <v>15.891303352170901</v>
      </c>
      <c r="D72" s="23">
        <f>D35/D58</f>
        <v>19.352356754010913</v>
      </c>
      <c r="E72" s="23">
        <f>E35/E58</f>
        <v>16.853429739612263</v>
      </c>
      <c r="F72" s="23">
        <f>F35/F58</f>
        <v>16.317754483726535</v>
      </c>
      <c r="G72" s="23">
        <f>G35/G58</f>
        <v>19.910968835975364</v>
      </c>
    </row>
    <row r="73" spans="1:18" ht="15.75" x14ac:dyDescent="0.25">
      <c r="A73" s="1" t="s">
        <v>145</v>
      </c>
      <c r="C73" s="23">
        <f>C63/C64</f>
        <v>55.541330089078777</v>
      </c>
      <c r="D73" s="23">
        <f>D63/D64</f>
        <v>11.727842530627852</v>
      </c>
      <c r="E73" s="23">
        <f>E63/E64</f>
        <v>46.471615007675716</v>
      </c>
      <c r="F73" s="23">
        <f>F63/F64</f>
        <v>94.730394535682464</v>
      </c>
      <c r="G73" s="23">
        <f>G63/G64</f>
        <v>114.93552328486486</v>
      </c>
    </row>
    <row r="74" spans="1:18" ht="15.75" x14ac:dyDescent="0.25">
      <c r="A74" s="1" t="s">
        <v>66</v>
      </c>
      <c r="C74" s="23">
        <f>C33/C52</f>
        <v>25.119826105468842</v>
      </c>
      <c r="D74" s="23">
        <f t="shared" ref="D74:G74" si="3">D33/D52</f>
        <v>25.514670489317204</v>
      </c>
      <c r="E74" s="23">
        <f t="shared" si="3"/>
        <v>24.178874034312972</v>
      </c>
      <c r="F74" s="23">
        <f t="shared" si="3"/>
        <v>24.539531983737952</v>
      </c>
      <c r="G74" s="23">
        <f t="shared" si="3"/>
        <v>24.800261566338566</v>
      </c>
    </row>
    <row r="75" spans="1:18" x14ac:dyDescent="0.2">
      <c r="A75" t="s">
        <v>135</v>
      </c>
      <c r="C75" s="23">
        <f>C43/C35</f>
        <v>4.8602904073663318</v>
      </c>
      <c r="D75" s="19">
        <f>D43/D35</f>
        <v>2.0526645396641579</v>
      </c>
      <c r="E75" s="19">
        <f>E43/E35</f>
        <v>3.7281321660683679</v>
      </c>
      <c r="F75" s="19">
        <f>F43/F35</f>
        <v>4.3573986241209353</v>
      </c>
      <c r="G75" s="19">
        <f>G43/G35</f>
        <v>5.1717073550800743</v>
      </c>
    </row>
    <row r="76" spans="1:18" x14ac:dyDescent="0.2">
      <c r="A76" t="s">
        <v>136</v>
      </c>
      <c r="C76" s="23">
        <f>C63/C35</f>
        <v>1.2678702891569533</v>
      </c>
      <c r="D76" s="19">
        <f>D63/D35</f>
        <v>0.29718069574073497</v>
      </c>
      <c r="E76" s="19">
        <f>E63/E35</f>
        <v>1.6986325700040825</v>
      </c>
      <c r="F76" s="19">
        <f>F63/F35</f>
        <v>1.7425739293057763</v>
      </c>
      <c r="G76" s="19">
        <f>G63/G35</f>
        <v>3.6320300423288585</v>
      </c>
    </row>
    <row r="78" spans="1:18" x14ac:dyDescent="0.2">
      <c r="A78" t="s">
        <v>137</v>
      </c>
      <c r="C78" s="23">
        <f>C75/0.9848</f>
        <v>4.9353070749048857</v>
      </c>
      <c r="D78" s="23">
        <f t="shared" ref="D78:G78" si="4">D75/0.9848</f>
        <v>2.0843466081073903</v>
      </c>
      <c r="E78" s="23">
        <f t="shared" si="4"/>
        <v>3.7856744172099592</v>
      </c>
      <c r="F78" s="23">
        <f t="shared" si="4"/>
        <v>4.4246533551187399</v>
      </c>
      <c r="G78" s="23">
        <f t="shared" si="4"/>
        <v>5.2515306205118542</v>
      </c>
    </row>
    <row r="79" spans="1:18" x14ac:dyDescent="0.2">
      <c r="A79" t="s">
        <v>138</v>
      </c>
      <c r="C79" s="23">
        <f>C76/0.1208</f>
        <v>10.495614976464845</v>
      </c>
      <c r="D79" s="23">
        <f t="shared" ref="D79:G79" si="5">D76/0.1208</f>
        <v>2.4601050971915144</v>
      </c>
      <c r="E79" s="23">
        <f t="shared" si="5"/>
        <v>14.061527897384789</v>
      </c>
      <c r="F79" s="23">
        <f t="shared" si="5"/>
        <v>14.425280871736557</v>
      </c>
      <c r="G79" s="23">
        <f t="shared" si="5"/>
        <v>30.066473860338231</v>
      </c>
    </row>
    <row r="81" spans="1:7" x14ac:dyDescent="0.2">
      <c r="A81" t="s">
        <v>146</v>
      </c>
      <c r="C81" s="23">
        <f>C44/C61</f>
        <v>4.9594866129200605</v>
      </c>
      <c r="D81" s="23">
        <f>D44/D61</f>
        <v>4.3215048929326416</v>
      </c>
      <c r="E81" s="23">
        <f>E44/E61</f>
        <v>5.90732950889333</v>
      </c>
      <c r="F81" s="23">
        <f>F44/F61</f>
        <v>13.693438407960267</v>
      </c>
      <c r="G81" s="23">
        <f>G44/G61</f>
        <v>7.9239680056584527</v>
      </c>
    </row>
    <row r="82" spans="1:7" x14ac:dyDescent="0.2">
      <c r="A82" t="s">
        <v>147</v>
      </c>
      <c r="C82" s="23">
        <f>C35/C64</f>
        <v>43.806792038647693</v>
      </c>
      <c r="D82" s="23">
        <f>D35/D64</f>
        <v>39.463675463157955</v>
      </c>
      <c r="E82" s="23">
        <f>E35/E64</f>
        <v>27.358250293978543</v>
      </c>
      <c r="F82" s="23">
        <f>F35/F64</f>
        <v>54.362338918626016</v>
      </c>
      <c r="G82" s="23">
        <f>G35/G64</f>
        <v>31.644981441609492</v>
      </c>
    </row>
    <row r="87" spans="1:7" x14ac:dyDescent="0.2">
      <c r="A87" t="s">
        <v>153</v>
      </c>
    </row>
    <row r="89" spans="1:7" ht="15.75" x14ac:dyDescent="0.25">
      <c r="A89" s="25" t="s">
        <v>154</v>
      </c>
      <c r="C89" s="26">
        <v>184.90224594821794</v>
      </c>
      <c r="D89" s="26">
        <v>193.63298692943962</v>
      </c>
      <c r="E89" s="26">
        <v>309.53258400937193</v>
      </c>
      <c r="F89" s="26">
        <v>208.57015704055985</v>
      </c>
      <c r="G89" s="26">
        <v>244.79801920026023</v>
      </c>
    </row>
    <row r="90" spans="1:7" ht="15.75" x14ac:dyDescent="0.25">
      <c r="A90" s="25" t="s">
        <v>155</v>
      </c>
      <c r="C90" s="26">
        <v>149.62749130637431</v>
      </c>
      <c r="D90" s="26">
        <v>255.70435731824361</v>
      </c>
      <c r="E90" s="26">
        <v>246.68062423303604</v>
      </c>
      <c r="F90" s="26">
        <v>287.30471369391501</v>
      </c>
      <c r="G90" s="26">
        <v>284.81155412100338</v>
      </c>
    </row>
    <row r="91" spans="1:7" ht="15.75" x14ac:dyDescent="0.25">
      <c r="A91" s="25" t="s">
        <v>156</v>
      </c>
      <c r="C91" s="27">
        <v>3.6019999999999999</v>
      </c>
      <c r="D91" s="27">
        <v>2.2010000000000001</v>
      </c>
      <c r="E91" s="27">
        <v>3.6549999999999998</v>
      </c>
      <c r="F91" s="27">
        <v>2.109</v>
      </c>
      <c r="G91" s="27">
        <v>2.4980000000000002</v>
      </c>
    </row>
    <row r="92" spans="1:7" ht="15.75" x14ac:dyDescent="0.25">
      <c r="A92" s="25" t="s">
        <v>157</v>
      </c>
      <c r="C92" s="27">
        <v>0.78496900000000003</v>
      </c>
      <c r="D92" s="27">
        <v>0.75437700000000008</v>
      </c>
      <c r="E92" s="27">
        <v>0.77695000000000003</v>
      </c>
      <c r="F92" s="27">
        <v>0.75217699999999998</v>
      </c>
      <c r="G92" s="27">
        <v>0.75480100000000006</v>
      </c>
    </row>
    <row r="93" spans="1:7" ht="15.75" x14ac:dyDescent="0.25">
      <c r="A93" s="25" t="s">
        <v>158</v>
      </c>
      <c r="C93" s="28">
        <v>21.117183221362787</v>
      </c>
      <c r="D93" s="28">
        <v>13.186031769507466</v>
      </c>
      <c r="E93" s="28">
        <v>20.10486811024882</v>
      </c>
      <c r="F93" s="28">
        <v>25.386742961221398</v>
      </c>
      <c r="G93" s="28">
        <v>22.64198624965886</v>
      </c>
    </row>
    <row r="94" spans="1:7" ht="15.75" x14ac:dyDescent="0.25">
      <c r="A94" s="25" t="s">
        <v>159</v>
      </c>
      <c r="C94" s="28">
        <v>105.67074114240383</v>
      </c>
      <c r="D94" s="28">
        <v>65.865010294104536</v>
      </c>
      <c r="E94" s="28">
        <v>115.72782335224257</v>
      </c>
      <c r="F94" s="28">
        <v>151.97228643995811</v>
      </c>
      <c r="G94" s="28">
        <v>140.73707834898866</v>
      </c>
    </row>
    <row r="95" spans="1:7" ht="15.75" x14ac:dyDescent="0.25">
      <c r="A95" s="25" t="s">
        <v>160</v>
      </c>
      <c r="C95" s="29">
        <f>0.6049*C93/C94</f>
        <v>0.12088288576861748</v>
      </c>
      <c r="D95" s="29">
        <f t="shared" ref="D95:G95" si="6">0.6049*D93/D94</f>
        <v>0.12109966402129303</v>
      </c>
      <c r="E95" s="29">
        <f t="shared" si="6"/>
        <v>0.10508652429134145</v>
      </c>
      <c r="F95" s="29">
        <f t="shared" si="6"/>
        <v>0.10104763952018261</v>
      </c>
      <c r="G95" s="29">
        <f t="shared" si="6"/>
        <v>9.7317193472327507E-2</v>
      </c>
    </row>
    <row r="96" spans="1:7" ht="15.75" x14ac:dyDescent="0.25">
      <c r="A96" s="25" t="s">
        <v>161</v>
      </c>
      <c r="C96" s="27">
        <v>0.51181500000000002</v>
      </c>
      <c r="D96" s="27">
        <v>0.51166800000000001</v>
      </c>
      <c r="E96" s="27">
        <v>0.51166200000000006</v>
      </c>
      <c r="F96" s="27">
        <v>0.51161100000000004</v>
      </c>
      <c r="G96" s="27">
        <v>0.51157200000000003</v>
      </c>
    </row>
    <row r="97" spans="1:18" ht="15.75" x14ac:dyDescent="0.25">
      <c r="A97" s="25" t="s">
        <v>162</v>
      </c>
      <c r="C97" s="26">
        <f>((C96/0.512632)-1)*10000</f>
        <v>-15.937358573010485</v>
      </c>
      <c r="D97" s="26">
        <f>((D96/0.512632)-1)*10000</f>
        <v>-18.804912685902451</v>
      </c>
      <c r="E97" s="26">
        <f>((E96/0.512632)-1)*10000</f>
        <v>-18.921955710917704</v>
      </c>
      <c r="F97" s="26">
        <f>((F96/0.512632)-1)*10000</f>
        <v>-19.916821423554552</v>
      </c>
      <c r="G97" s="26">
        <f>((G96/0.512632)-1)*10000</f>
        <v>-20.677601086158681</v>
      </c>
    </row>
    <row r="98" spans="1:18" ht="15.75" x14ac:dyDescent="0.25">
      <c r="A98" s="25" t="s">
        <v>163</v>
      </c>
      <c r="C98" s="28">
        <v>1.2818253132421513</v>
      </c>
      <c r="D98" s="28">
        <v>0.44517359901554626</v>
      </c>
      <c r="E98" s="28">
        <v>0.70518441586419289</v>
      </c>
      <c r="F98" s="28">
        <v>0.49571069993760292</v>
      </c>
      <c r="G98" s="28">
        <v>0.50525381151947713</v>
      </c>
    </row>
    <row r="99" spans="1:18" ht="15.75" x14ac:dyDescent="0.25">
      <c r="A99" s="25" t="s">
        <v>164</v>
      </c>
      <c r="C99" s="28">
        <v>9.2175746107481107</v>
      </c>
      <c r="D99" s="28">
        <v>8.0086466544328303</v>
      </c>
      <c r="E99" s="28">
        <v>14.052774789927383</v>
      </c>
      <c r="F99" s="28">
        <v>7.8468699451798924</v>
      </c>
      <c r="G99" s="28">
        <v>9.586166705146633</v>
      </c>
    </row>
    <row r="100" spans="1:18" ht="15.75" x14ac:dyDescent="0.25">
      <c r="A100" s="25" t="s">
        <v>165</v>
      </c>
      <c r="C100" s="30">
        <f>0.142*C98/C99</f>
        <v>1.9746972730564374E-2</v>
      </c>
      <c r="D100" s="30">
        <f t="shared" ref="D100:G100" si="7">0.142*D98/D99</f>
        <v>7.8933000527895564E-3</v>
      </c>
      <c r="E100" s="30">
        <f t="shared" si="7"/>
        <v>7.1257234638450236E-3</v>
      </c>
      <c r="F100" s="30">
        <f t="shared" si="7"/>
        <v>8.9705729651322601E-3</v>
      </c>
      <c r="G100" s="30">
        <f t="shared" si="7"/>
        <v>7.4843306446200908E-3</v>
      </c>
    </row>
    <row r="101" spans="1:18" ht="15.75" x14ac:dyDescent="0.25">
      <c r="A101" s="25" t="s">
        <v>188</v>
      </c>
      <c r="C101" s="31">
        <v>0.28231959999999995</v>
      </c>
      <c r="D101" s="31">
        <v>0.28205950000000002</v>
      </c>
      <c r="E101" s="31">
        <v>0.28209869999999998</v>
      </c>
      <c r="F101" s="31">
        <v>0.28205990000000003</v>
      </c>
      <c r="G101" s="31">
        <v>0.28201479999999995</v>
      </c>
    </row>
    <row r="102" spans="1:18" ht="15.75" x14ac:dyDescent="0.25">
      <c r="A102" s="25" t="s">
        <v>166</v>
      </c>
      <c r="C102" s="26">
        <f>((C101/0.282785)-1)*10000</f>
        <v>-16.457732906627331</v>
      </c>
      <c r="D102" s="26">
        <f t="shared" ref="D102:G102" si="8">((D101/0.282785)-1)*10000</f>
        <v>-25.655533355729567</v>
      </c>
      <c r="E102" s="26">
        <f t="shared" si="8"/>
        <v>-24.269321215765196</v>
      </c>
      <c r="F102" s="26">
        <f t="shared" si="8"/>
        <v>-25.641388333892401</v>
      </c>
      <c r="G102" s="26">
        <f t="shared" si="8"/>
        <v>-27.236239545946894</v>
      </c>
      <c r="Q102" s="18" t="s">
        <v>175</v>
      </c>
      <c r="R102" s="18" t="s">
        <v>196</v>
      </c>
    </row>
    <row r="103" spans="1:18" ht="15.75" x14ac:dyDescent="0.25">
      <c r="A103" s="25" t="s">
        <v>167</v>
      </c>
      <c r="C103" s="28">
        <v>0.59435543829188908</v>
      </c>
      <c r="D103" s="28">
        <v>0.76129769568414918</v>
      </c>
      <c r="E103" s="28">
        <v>1.3794423983131263</v>
      </c>
      <c r="F103" s="28">
        <v>0.77105500697296592</v>
      </c>
      <c r="G103" s="28">
        <v>1.0986489522730107</v>
      </c>
      <c r="O103" t="s">
        <v>195</v>
      </c>
      <c r="Q103" s="19">
        <f>LN(1.0194)/0.01397</f>
        <v>1.3753914762923674</v>
      </c>
      <c r="R103" s="18">
        <v>0.71020000000000005</v>
      </c>
    </row>
    <row r="104" spans="1:18" ht="15.75" x14ac:dyDescent="0.25">
      <c r="A104" s="25" t="s">
        <v>168</v>
      </c>
      <c r="C104" s="28">
        <v>33.011291588408909</v>
      </c>
      <c r="D104" s="28">
        <v>8.9283794939135444</v>
      </c>
      <c r="E104" s="28">
        <v>64.104916059672462</v>
      </c>
      <c r="F104" s="28">
        <v>73.042345019262456</v>
      </c>
      <c r="G104" s="28">
        <v>126.27379223586701</v>
      </c>
      <c r="O104" t="s">
        <v>197</v>
      </c>
      <c r="Q104" s="19">
        <f>LN(1.010273)/0.00654</f>
        <v>1.5627815533960614</v>
      </c>
      <c r="R104">
        <v>0.510575</v>
      </c>
    </row>
    <row r="105" spans="1:18" ht="15.75" x14ac:dyDescent="0.25">
      <c r="A105" s="25" t="s">
        <v>169</v>
      </c>
      <c r="C105" s="28">
        <v>44.544188430804347</v>
      </c>
      <c r="D105" s="28">
        <v>34.36911227680168</v>
      </c>
      <c r="E105" s="28">
        <v>50.98395932310445</v>
      </c>
      <c r="F105" s="28">
        <v>29.021786548599604</v>
      </c>
      <c r="G105" s="28">
        <v>47.757823549602691</v>
      </c>
      <c r="O105" t="s">
        <v>198</v>
      </c>
      <c r="Q105" s="19">
        <f>LN(1.02153)/0.01867</f>
        <v>1.1409482281690229</v>
      </c>
      <c r="R105">
        <v>0.28188999999999997</v>
      </c>
    </row>
    <row r="106" spans="1:18" ht="15.75" x14ac:dyDescent="0.25">
      <c r="A106" s="25" t="s">
        <v>170</v>
      </c>
      <c r="C106" s="28">
        <v>0.85364828862035314</v>
      </c>
      <c r="D106" s="28">
        <v>1.4622049684579232</v>
      </c>
      <c r="E106" s="28">
        <v>1.7895591319073787</v>
      </c>
      <c r="F106" s="28">
        <v>1.8091032706125791</v>
      </c>
      <c r="G106" s="28">
        <v>1.5651735843158443</v>
      </c>
    </row>
    <row r="107" spans="1:18" ht="15.75" x14ac:dyDescent="0.25">
      <c r="A107" s="25" t="s">
        <v>171</v>
      </c>
      <c r="C107" s="26">
        <v>48.989618507049734</v>
      </c>
      <c r="D107" s="26">
        <v>17.718836020276356</v>
      </c>
      <c r="E107" s="26">
        <v>85.92956760445739</v>
      </c>
      <c r="F107" s="26">
        <v>177.07673775166012</v>
      </c>
      <c r="G107" s="26">
        <v>185.87697441283635</v>
      </c>
    </row>
    <row r="108" spans="1:18" ht="15.75" x14ac:dyDescent="0.25">
      <c r="A108" s="25" t="s">
        <v>172</v>
      </c>
      <c r="C108" s="29">
        <v>17.415314396146776</v>
      </c>
      <c r="D108" s="29">
        <v>17.897978464745485</v>
      </c>
      <c r="E108" s="29">
        <v>17.763098055448346</v>
      </c>
      <c r="F108" s="29">
        <v>17.888736404426961</v>
      </c>
      <c r="G108" s="29">
        <v>17.50629912944558</v>
      </c>
    </row>
    <row r="109" spans="1:18" ht="15.75" x14ac:dyDescent="0.25">
      <c r="A109" s="25" t="s">
        <v>173</v>
      </c>
      <c r="C109" s="29">
        <v>15.672198274120428</v>
      </c>
      <c r="D109" s="29">
        <v>15.759921272034045</v>
      </c>
      <c r="E109" s="29">
        <v>15.700334104813807</v>
      </c>
      <c r="F109" s="29">
        <v>15.749340301464276</v>
      </c>
      <c r="G109" s="29">
        <v>15.678575331045469</v>
      </c>
    </row>
    <row r="110" spans="1:18" ht="15.75" x14ac:dyDescent="0.25">
      <c r="A110" s="25" t="s">
        <v>174</v>
      </c>
      <c r="C110" s="29">
        <v>39.927374706975179</v>
      </c>
      <c r="D110" s="29">
        <v>41.707869404833176</v>
      </c>
      <c r="E110" s="29">
        <v>42.050537162930503</v>
      </c>
      <c r="F110" s="29">
        <v>44.126613266226578</v>
      </c>
      <c r="G110" s="29">
        <v>44.511825813390729</v>
      </c>
    </row>
    <row r="111" spans="1:18" ht="15.75" x14ac:dyDescent="0.25">
      <c r="A111" s="38" t="s">
        <v>175</v>
      </c>
      <c r="B111" s="39"/>
      <c r="C111" s="40">
        <v>0.51500000000000001</v>
      </c>
      <c r="D111" s="40">
        <f>$C111</f>
        <v>0.51500000000000001</v>
      </c>
      <c r="E111" s="40">
        <f t="shared" ref="E111:G111" si="9">$C111</f>
        <v>0.51500000000000001</v>
      </c>
      <c r="F111" s="40">
        <f t="shared" si="9"/>
        <v>0.51500000000000001</v>
      </c>
      <c r="G111" s="40">
        <f t="shared" si="9"/>
        <v>0.51500000000000001</v>
      </c>
    </row>
    <row r="112" spans="1:18" ht="15.75" x14ac:dyDescent="0.25">
      <c r="A112" s="25" t="s">
        <v>176</v>
      </c>
      <c r="C112" s="32">
        <f>C92-C91*(EXP(0.01395*C111)-1)</f>
        <v>0.75899815267370041</v>
      </c>
      <c r="D112" s="32">
        <f>D92-D91*(EXP(0.01395*D111)-1)</f>
        <v>0.73850752888251381</v>
      </c>
      <c r="E112" s="32">
        <f>E92-E91*(EXP(0.01395*E111)-1)</f>
        <v>0.75059701638600085</v>
      </c>
      <c r="F112" s="32">
        <f>F92-F91*(EXP(0.01395*F111)-1)</f>
        <v>0.73697085979701116</v>
      </c>
      <c r="G112" s="32">
        <f>G92-G91*(EXP(0.01395*G111)-1)</f>
        <v>0.73679012364766905</v>
      </c>
    </row>
    <row r="113" spans="1:7" ht="15.75" x14ac:dyDescent="0.25">
      <c r="A113" s="25" t="s">
        <v>177</v>
      </c>
      <c r="C113" s="31">
        <f t="shared" ref="C113:G113" si="10">C96-C95*(EXP(0.00654*C111)-1)</f>
        <v>0.51140716792838303</v>
      </c>
      <c r="D113" s="31">
        <f t="shared" si="10"/>
        <v>0.51125943656659179</v>
      </c>
      <c r="E113" s="31">
        <f t="shared" si="10"/>
        <v>0.5113074613518841</v>
      </c>
      <c r="F113" s="31">
        <f t="shared" si="10"/>
        <v>0.51127008765417459</v>
      </c>
      <c r="G113" s="31">
        <f t="shared" si="10"/>
        <v>0.51124367335255594</v>
      </c>
    </row>
    <row r="114" spans="1:7" ht="15.75" x14ac:dyDescent="0.25">
      <c r="A114" s="25" t="s">
        <v>178</v>
      </c>
      <c r="C114" s="26">
        <f>(((C96-C95*(EXP(0.00654*C111)-1))/(0.512632-0.196*(EXP(0.00654*C111)-1)))-1)*10000</f>
        <v>-11.007884972058513</v>
      </c>
      <c r="D114" s="26">
        <f>(((D96-D95*(EXP(0.00654*D111)-1))/(0.512632-0.196*(EXP(0.00654*D111)-1)))-1)*10000</f>
        <v>-13.893428039538636</v>
      </c>
      <c r="E114" s="26">
        <f>(((E96-E95*(EXP(0.00654*E111)-1))/(0.512632-0.196*(EXP(0.00654*E111)-1)))-1)*10000</f>
        <v>-12.955390343364348</v>
      </c>
      <c r="F114" s="26">
        <f>(((F96-F95*(EXP(0.00654*F111)-1))/(0.512632-0.196*(EXP(0.00654*F111)-1)))-1)*10000</f>
        <v>-13.685387095739854</v>
      </c>
      <c r="G114" s="26">
        <f>(((G96-G95*(EXP(0.00654*G111)-1))/(0.512632-0.196*(EXP(0.00654*G111)-1)))-1)*10000</f>
        <v>-14.2013209096159</v>
      </c>
    </row>
    <row r="115" spans="1:7" ht="15.75" x14ac:dyDescent="0.25">
      <c r="A115" s="25" t="s">
        <v>179</v>
      </c>
      <c r="C115" s="31">
        <f t="shared" ref="C115:G115" si="11">C101-C100*(EXP(0.01865*C111)-1)</f>
        <v>0.28212902149932828</v>
      </c>
      <c r="D115" s="31">
        <f t="shared" si="11"/>
        <v>0.28198332157458073</v>
      </c>
      <c r="E115" s="31">
        <f t="shared" si="11"/>
        <v>0.28202992947438726</v>
      </c>
      <c r="F115" s="31">
        <f t="shared" si="11"/>
        <v>0.28197332478823534</v>
      </c>
      <c r="G115" s="31">
        <f t="shared" si="11"/>
        <v>0.28194256854800759</v>
      </c>
    </row>
    <row r="116" spans="1:7" ht="15.75" x14ac:dyDescent="0.25">
      <c r="A116" s="25" t="s">
        <v>180</v>
      </c>
      <c r="C116" s="26">
        <f>(((C101-C100*(EXP(0.01865*C111)-1))/(0.282785-0.0336*(EXP(0.01865*C111)-1)))-1)*10000</f>
        <v>-11.743370891811322</v>
      </c>
      <c r="D116" s="26">
        <f t="shared" ref="C116:G116" si="12">(((D101-D100*(EXP(0.01865*D111)-1))/(0.282785-0.0336*(EXP(0.01865*D111)-1)))-1)*10000</f>
        <v>-16.901607472672442</v>
      </c>
      <c r="E116" s="26">
        <f t="shared" si="12"/>
        <v>-15.251540911856987</v>
      </c>
      <c r="F116" s="26">
        <f t="shared" si="12"/>
        <v>-17.255525219076475</v>
      </c>
      <c r="G116" s="26">
        <f t="shared" si="12"/>
        <v>-18.344393066519473</v>
      </c>
    </row>
    <row r="117" spans="1:7" ht="15.75" x14ac:dyDescent="0.25">
      <c r="A117" s="25" t="s">
        <v>181</v>
      </c>
      <c r="C117" s="28">
        <f>C108-C106*(EXP(0.155125*C111)-1)</f>
        <v>17.344318827746577</v>
      </c>
      <c r="D117" s="28">
        <f t="shared" ref="C117:G117" si="13">D108-D106*(EXP(0.155125*D111)-1)</f>
        <v>17.776370919533814</v>
      </c>
      <c r="E117" s="28">
        <f t="shared" si="13"/>
        <v>17.614265369377051</v>
      </c>
      <c r="F117" s="28">
        <f t="shared" si="13"/>
        <v>17.738278286365976</v>
      </c>
      <c r="G117" s="28">
        <f t="shared" si="13"/>
        <v>17.376127969092092</v>
      </c>
    </row>
    <row r="118" spans="1:7" ht="15.75" x14ac:dyDescent="0.25">
      <c r="A118" s="25" t="s">
        <v>182</v>
      </c>
      <c r="C118" s="28">
        <f>C109-(C106/137.88)*(EXP(0.98485*C111)-1)</f>
        <v>15.668108147463654</v>
      </c>
      <c r="D118" s="28">
        <f t="shared" ref="C118:G118" si="14">D109-(D106/137.88)*(EXP(0.98485*D111)-1)</f>
        <v>15.75291533809277</v>
      </c>
      <c r="E118" s="28">
        <f t="shared" si="14"/>
        <v>15.691759702912156</v>
      </c>
      <c r="F118" s="28">
        <f t="shared" si="14"/>
        <v>15.740672256778158</v>
      </c>
      <c r="G118" s="28">
        <f t="shared" si="14"/>
        <v>15.671076038555777</v>
      </c>
    </row>
    <row r="119" spans="1:7" ht="15.75" x14ac:dyDescent="0.25">
      <c r="A119" s="25" t="s">
        <v>183</v>
      </c>
      <c r="C119" s="28">
        <f>C110-C107*(EXP(0.049475*C111)-1)</f>
        <v>38.66309936546871</v>
      </c>
      <c r="D119" s="28">
        <f t="shared" ref="C119:G119" si="15">D110-D107*(EXP(0.049475*D111)-1)</f>
        <v>41.250599310815026</v>
      </c>
      <c r="E119" s="28">
        <f t="shared" si="15"/>
        <v>39.832952361509875</v>
      </c>
      <c r="F119" s="28">
        <f t="shared" si="15"/>
        <v>39.556792967225576</v>
      </c>
      <c r="G119" s="28">
        <f t="shared" si="15"/>
        <v>39.714897760763407</v>
      </c>
    </row>
    <row r="120" spans="1:7" x14ac:dyDescent="0.2">
      <c r="A120" s="36" t="s">
        <v>184</v>
      </c>
    </row>
    <row r="121" spans="1:7" ht="15.75" x14ac:dyDescent="0.25">
      <c r="A121" s="25" t="s">
        <v>186</v>
      </c>
      <c r="C121" s="33">
        <f>(1/6.54)*1000*LN(1+(C96-0.513145)/(C95-0.21294))</f>
        <v>2.1932998722525263</v>
      </c>
      <c r="D121" s="33">
        <f t="shared" ref="D121:G121" si="16">(1/6.54)*1000*LN(1+(D96-0.513145)/(D95-0.21294))</f>
        <v>2.4394967451072036</v>
      </c>
      <c r="E121" s="33">
        <f t="shared" si="16"/>
        <v>2.0881438803085977</v>
      </c>
      <c r="F121" s="33">
        <f t="shared" si="16"/>
        <v>2.0820302723008135</v>
      </c>
      <c r="G121" s="33">
        <f t="shared" si="16"/>
        <v>2.0661882172783459</v>
      </c>
    </row>
    <row r="122" spans="1:7" ht="15.75" x14ac:dyDescent="0.25">
      <c r="A122" s="25" t="s">
        <v>187</v>
      </c>
      <c r="C122" s="35">
        <f>(1/6.54)*1000*LN(1+((C96-0.513145-(EXP(6.54*0.001*C111)-1)*(C95-0.11))/(0.11-0.21249)))</f>
        <v>2.0255336194920224</v>
      </c>
      <c r="D122" s="35">
        <f t="shared" ref="D122:G122" si="17">(1/6.54)*1000*LN(1+((D96-0.513145-(EXP(6.54*0.001*D111*0.001)-1)*(D95-0.11))/(0.11-0.21249)))</f>
        <v>2.1878696997733371</v>
      </c>
      <c r="E122" s="35">
        <f t="shared" si="17"/>
        <v>2.1966143792092439</v>
      </c>
      <c r="F122" s="35">
        <f t="shared" si="17"/>
        <v>2.2715778355578373</v>
      </c>
      <c r="G122" s="35">
        <f t="shared" si="17"/>
        <v>2.3288748673445845</v>
      </c>
    </row>
    <row r="123" spans="1:7" x14ac:dyDescent="0.2">
      <c r="A123" s="37" t="s">
        <v>185</v>
      </c>
    </row>
    <row r="124" spans="1:7" ht="15.75" x14ac:dyDescent="0.25">
      <c r="A124" s="25" t="s">
        <v>186</v>
      </c>
      <c r="C124" s="33">
        <f>(1/0.01865)*LN(1+(C101-0.283237)/(C100-0.03869))</f>
        <v>2.53583178330633</v>
      </c>
      <c r="D124" s="33">
        <f t="shared" ref="D124:G124" si="18">(1/0.01865)*LN(1+(D101-0.283237)/(D100-0.03869))</f>
        <v>2.0118920260770525</v>
      </c>
      <c r="E124" s="33">
        <f t="shared" si="18"/>
        <v>1.8996180272490077</v>
      </c>
      <c r="F124" s="33">
        <f t="shared" si="18"/>
        <v>2.0827261663640702</v>
      </c>
      <c r="G124" s="33">
        <f t="shared" si="18"/>
        <v>2.0599694338415855</v>
      </c>
    </row>
    <row r="125" spans="1:7" ht="15.75" x14ac:dyDescent="0.25">
      <c r="A125" s="25" t="s">
        <v>187</v>
      </c>
      <c r="C125" s="35">
        <f>(1/0.01865)*LN(1+((C101-0.283237-(EXP(0.01865*C111)-1)*(C100-0.015))/(0.015-0.03869)))</f>
        <v>2.1369557413168656</v>
      </c>
      <c r="D125" s="35">
        <f t="shared" ref="D125:G125" si="19">(1/0.01865)*LN(1+((D101-0.283237-(EXP(0.01865*D111)-1)*(D100-0.015))/(0.015-0.03869)))</f>
        <v>2.4529118632330449</v>
      </c>
      <c r="E125" s="35">
        <f t="shared" si="19"/>
        <v>2.3520431489924509</v>
      </c>
      <c r="F125" s="35">
        <f t="shared" si="19"/>
        <v>2.4745221936684643</v>
      </c>
      <c r="G125" s="35">
        <f t="shared" si="19"/>
        <v>2.5409542450050293</v>
      </c>
    </row>
    <row r="126" spans="1:7" x14ac:dyDescent="0.2">
      <c r="D126" s="33"/>
      <c r="E126" s="34"/>
    </row>
    <row r="133" spans="6:7" x14ac:dyDescent="0.2">
      <c r="F133">
        <v>10</v>
      </c>
      <c r="G133">
        <f>1.5*F133+2</f>
        <v>17</v>
      </c>
    </row>
    <row r="134" spans="6:7" x14ac:dyDescent="0.2">
      <c r="F134">
        <v>0</v>
      </c>
      <c r="G134">
        <f t="shared" ref="G134:G136" si="20">1.5*F134+2</f>
        <v>2</v>
      </c>
    </row>
    <row r="135" spans="6:7" x14ac:dyDescent="0.2">
      <c r="F135">
        <v>-10</v>
      </c>
      <c r="G135">
        <f t="shared" si="20"/>
        <v>-13</v>
      </c>
    </row>
    <row r="136" spans="6:7" x14ac:dyDescent="0.2">
      <c r="F136">
        <v>-20</v>
      </c>
      <c r="G136">
        <f t="shared" si="20"/>
        <v>-28</v>
      </c>
    </row>
  </sheetData>
  <phoneticPr fontId="10" type="noConversion"/>
  <printOptions gridLines="1"/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ppb</vt:lpstr>
      <vt:lpstr>summary table</vt:lpstr>
      <vt:lpstr>ree-std</vt:lpstr>
      <vt:lpstr>ree-DR</vt:lpstr>
    </vt:vector>
  </TitlesOfParts>
  <Company>University of Melbourne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Greig</dc:creator>
  <cp:lastModifiedBy>Jeremy Asimus</cp:lastModifiedBy>
  <cp:lastPrinted>2014-09-15T01:43:48Z</cp:lastPrinted>
  <dcterms:created xsi:type="dcterms:W3CDTF">2014-09-09T03:43:46Z</dcterms:created>
  <dcterms:modified xsi:type="dcterms:W3CDTF">2023-09-04T23:35:27Z</dcterms:modified>
</cp:coreProperties>
</file>