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https://universitytasmania-my.sharepoint.com/personal/kirralee_baker_utas_edu_au/Documents/Postdoc_Boyd/IMAS_Data_Portal_deposit/"/>
    </mc:Choice>
  </mc:AlternateContent>
  <xr:revisionPtr revIDLastSave="0" documentId="8_{B83CA25F-7E95-4CD7-B890-12BE799F9FAD}" xr6:coauthVersionLast="47" xr6:coauthVersionMax="47" xr10:uidLastSave="{00000000-0000-0000-0000-000000000000}"/>
  <bookViews>
    <workbookView xWindow="2790" yWindow="60" windowWidth="24720" windowHeight="15585" xr2:uid="{34430462-D69B-F143-98B8-DBE9DA0C463E}"/>
  </bookViews>
  <sheets>
    <sheet name="References" sheetId="20" r:id="rId1"/>
    <sheet name="SpeciesTraits" sheetId="19" r:id="rId2"/>
    <sheet name="Species" sheetId="13" r:id="rId3"/>
    <sheet name="Spikes" sheetId="15" r:id="rId4"/>
    <sheet name="Spore_forming" sheetId="14" r:id="rId5"/>
    <sheet name="Robust" sheetId="10" r:id="rId6"/>
    <sheet name="Chain_forming" sheetId="12" r:id="rId7"/>
    <sheet name="Stickiness" sheetId="11" r:id="rId8"/>
    <sheet name="Size" sheetId="17"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9" i="17" l="1"/>
  <c r="A12" i="19" l="1"/>
  <c r="C12" i="19" s="1"/>
  <c r="B12" i="19"/>
  <c r="A15" i="19"/>
  <c r="C15" i="19" s="1"/>
  <c r="B15" i="19"/>
  <c r="A11" i="19"/>
  <c r="C11" i="19" s="1"/>
  <c r="B11" i="19"/>
  <c r="N11" i="19"/>
  <c r="A6" i="19"/>
  <c r="E6" i="19" s="1"/>
  <c r="B6" i="19"/>
  <c r="A23" i="19"/>
  <c r="E23" i="19" s="1"/>
  <c r="B23" i="19"/>
  <c r="N23" i="19"/>
  <c r="A34" i="19"/>
  <c r="C34" i="19" s="1"/>
  <c r="B34" i="19"/>
  <c r="F34" i="19"/>
  <c r="M34" i="19"/>
  <c r="G64" i="17"/>
  <c r="H64" i="17"/>
  <c r="I64" i="17"/>
  <c r="J64" i="17"/>
  <c r="K64" i="17"/>
  <c r="L64" i="17"/>
  <c r="G65" i="17"/>
  <c r="H65" i="17"/>
  <c r="I65" i="17"/>
  <c r="J65" i="17"/>
  <c r="K65" i="17"/>
  <c r="L65" i="17"/>
  <c r="G66" i="17"/>
  <c r="H66" i="17"/>
  <c r="I66" i="17"/>
  <c r="J66" i="17"/>
  <c r="K66" i="17"/>
  <c r="L66" i="17"/>
  <c r="G67" i="17"/>
  <c r="H67" i="17"/>
  <c r="I67" i="17"/>
  <c r="J67" i="17"/>
  <c r="K67" i="17"/>
  <c r="L67" i="17"/>
  <c r="G68" i="17"/>
  <c r="H68" i="17"/>
  <c r="K68" i="17"/>
  <c r="L68" i="17"/>
  <c r="G69" i="17"/>
  <c r="H69" i="17"/>
  <c r="I69" i="17"/>
  <c r="J69" i="17"/>
  <c r="K69" i="17"/>
  <c r="L69" i="17"/>
  <c r="AJ67" i="17"/>
  <c r="AI67" i="17"/>
  <c r="AL67" i="17" s="1"/>
  <c r="AB67" i="17"/>
  <c r="AC67" i="17" s="1"/>
  <c r="AA67" i="17"/>
  <c r="AD67" i="17" s="1"/>
  <c r="AQ67" i="17" s="1"/>
  <c r="AJ69" i="17"/>
  <c r="AK69" i="17" s="1"/>
  <c r="AI69" i="17"/>
  <c r="AL69" i="17" s="1"/>
  <c r="AB69" i="17"/>
  <c r="AC69" i="17" s="1"/>
  <c r="AA69" i="17"/>
  <c r="AD69" i="17" s="1"/>
  <c r="AQ69" i="17" s="1"/>
  <c r="AJ65" i="17"/>
  <c r="AI65" i="17"/>
  <c r="AK65" i="17" s="1"/>
  <c r="AD65" i="17"/>
  <c r="AB65" i="17"/>
  <c r="AA65" i="17"/>
  <c r="AC65" i="17" s="1"/>
  <c r="AL64" i="17"/>
  <c r="AJ64" i="17"/>
  <c r="AK64" i="17" s="1"/>
  <c r="AI64" i="17"/>
  <c r="AB64" i="17"/>
  <c r="AA64" i="17"/>
  <c r="AD64" i="17" s="1"/>
  <c r="AQ64" i="17" s="1"/>
  <c r="AJ66" i="17"/>
  <c r="AI66" i="17"/>
  <c r="AL66" i="17" s="1"/>
  <c r="AB66" i="17"/>
  <c r="AA66" i="17"/>
  <c r="AD66" i="17" s="1"/>
  <c r="AQ66" i="17" s="1"/>
  <c r="A64" i="14"/>
  <c r="A65" i="14"/>
  <c r="A66" i="14"/>
  <c r="A67" i="14"/>
  <c r="A68" i="14"/>
  <c r="A69" i="14"/>
  <c r="A64" i="10"/>
  <c r="A65" i="10"/>
  <c r="A66" i="10"/>
  <c r="A67" i="10"/>
  <c r="A68" i="10"/>
  <c r="A69" i="10"/>
  <c r="A64" i="15"/>
  <c r="A65" i="15"/>
  <c r="A66" i="15"/>
  <c r="A67" i="15"/>
  <c r="A68" i="15"/>
  <c r="A69" i="15"/>
  <c r="B64" i="17"/>
  <c r="B65" i="17"/>
  <c r="B66" i="17"/>
  <c r="B67" i="17"/>
  <c r="B68" i="17"/>
  <c r="B69" i="17"/>
  <c r="A64" i="11"/>
  <c r="A65" i="11"/>
  <c r="A66" i="11"/>
  <c r="A67" i="11"/>
  <c r="A68" i="11"/>
  <c r="A69" i="11"/>
  <c r="A64" i="12"/>
  <c r="A65" i="12"/>
  <c r="A66" i="12"/>
  <c r="A67" i="12"/>
  <c r="A68" i="12"/>
  <c r="A69" i="12"/>
  <c r="N34" i="19" l="1"/>
  <c r="F11" i="19"/>
  <c r="N12" i="19"/>
  <c r="M12" i="19"/>
  <c r="J12" i="19"/>
  <c r="I12" i="19"/>
  <c r="F12" i="19"/>
  <c r="N15" i="19"/>
  <c r="J34" i="19"/>
  <c r="N6" i="19"/>
  <c r="J15" i="19"/>
  <c r="I34" i="19"/>
  <c r="F15" i="19"/>
  <c r="E12" i="19"/>
  <c r="J23" i="19"/>
  <c r="F23" i="19"/>
  <c r="J6" i="19"/>
  <c r="F6" i="19"/>
  <c r="J11" i="19"/>
  <c r="M6" i="19"/>
  <c r="I6" i="19"/>
  <c r="P34" i="19"/>
  <c r="L34" i="19"/>
  <c r="H34" i="19"/>
  <c r="D34" i="19"/>
  <c r="P23" i="19"/>
  <c r="L23" i="19"/>
  <c r="H23" i="19"/>
  <c r="D23" i="19"/>
  <c r="P6" i="19"/>
  <c r="L6" i="19"/>
  <c r="H6" i="19"/>
  <c r="D6" i="19"/>
  <c r="P11" i="19"/>
  <c r="L11" i="19"/>
  <c r="H11" i="19"/>
  <c r="D11" i="19"/>
  <c r="P15" i="19"/>
  <c r="L15" i="19"/>
  <c r="H15" i="19"/>
  <c r="D15" i="19"/>
  <c r="P12" i="19"/>
  <c r="L12" i="19"/>
  <c r="H12" i="19"/>
  <c r="D12" i="19"/>
  <c r="E34" i="19"/>
  <c r="M11" i="19"/>
  <c r="I11" i="19"/>
  <c r="E11" i="19"/>
  <c r="M15" i="19"/>
  <c r="I15" i="19"/>
  <c r="E15" i="19"/>
  <c r="O34" i="19"/>
  <c r="G34" i="19"/>
  <c r="O23" i="19"/>
  <c r="G23" i="19"/>
  <c r="C23" i="19"/>
  <c r="O6" i="19"/>
  <c r="G6" i="19"/>
  <c r="C6" i="19"/>
  <c r="O11" i="19"/>
  <c r="G11" i="19"/>
  <c r="O15" i="19"/>
  <c r="G15" i="19"/>
  <c r="O12" i="19"/>
  <c r="G12" i="19"/>
  <c r="M23" i="19"/>
  <c r="I23" i="19"/>
  <c r="AQ65" i="17"/>
  <c r="AC64" i="17"/>
  <c r="AL65" i="17"/>
  <c r="AK67" i="17"/>
  <c r="AC66" i="17"/>
  <c r="AK66" i="17"/>
  <c r="K5" i="17" l="1"/>
  <c r="L5" i="17"/>
  <c r="K8" i="17"/>
  <c r="L8" i="17"/>
  <c r="K10" i="17"/>
  <c r="L10" i="17"/>
  <c r="K12" i="17"/>
  <c r="L12" i="17"/>
  <c r="K13" i="17"/>
  <c r="L13" i="17"/>
  <c r="K14" i="17"/>
  <c r="L14" i="17"/>
  <c r="K15" i="17"/>
  <c r="L15" i="17"/>
  <c r="K18" i="17"/>
  <c r="L18" i="17"/>
  <c r="K19" i="17"/>
  <c r="L19" i="17"/>
  <c r="K20" i="17"/>
  <c r="L20" i="17"/>
  <c r="K26" i="17"/>
  <c r="L26" i="17"/>
  <c r="K27" i="17"/>
  <c r="L27" i="17"/>
  <c r="K29" i="17"/>
  <c r="L29" i="17"/>
  <c r="K34" i="17"/>
  <c r="L34" i="17"/>
  <c r="K38" i="17"/>
  <c r="L38" i="17"/>
  <c r="K40" i="17"/>
  <c r="L40" i="17"/>
  <c r="K43" i="17"/>
  <c r="L43" i="17"/>
  <c r="K44" i="17"/>
  <c r="L44" i="17"/>
  <c r="K45" i="17"/>
  <c r="L45" i="17"/>
  <c r="K50" i="17"/>
  <c r="L50" i="17"/>
  <c r="K51" i="17"/>
  <c r="L51" i="17"/>
  <c r="K54" i="17"/>
  <c r="L54" i="17"/>
  <c r="K55" i="17"/>
  <c r="L55" i="17"/>
  <c r="K56" i="17"/>
  <c r="L56" i="17"/>
  <c r="K58" i="17"/>
  <c r="L58" i="17"/>
  <c r="L4" i="17"/>
  <c r="K4" i="17"/>
  <c r="A32" i="11"/>
  <c r="A35" i="11"/>
  <c r="B62" i="17" l="1"/>
  <c r="B63" i="17"/>
  <c r="G63" i="17"/>
  <c r="H63" i="17"/>
  <c r="AJ63" i="17"/>
  <c r="AI63" i="17"/>
  <c r="AL63" i="17" s="1"/>
  <c r="AB63" i="17"/>
  <c r="AA63" i="17"/>
  <c r="I63" i="17" s="1"/>
  <c r="A62" i="11"/>
  <c r="A63" i="11"/>
  <c r="A63" i="12"/>
  <c r="A63" i="10"/>
  <c r="A63" i="14"/>
  <c r="A63" i="15"/>
  <c r="A56" i="19"/>
  <c r="B56" i="19"/>
  <c r="A51" i="19"/>
  <c r="M4" i="17"/>
  <c r="N4" i="17"/>
  <c r="O4" i="17"/>
  <c r="P4" i="17"/>
  <c r="Q4" i="17"/>
  <c r="R4" i="17"/>
  <c r="S4" i="17"/>
  <c r="T4" i="17"/>
  <c r="U4" i="17"/>
  <c r="V4" i="17"/>
  <c r="W4" i="17"/>
  <c r="X4" i="17"/>
  <c r="Y4" i="17"/>
  <c r="Z4" i="17"/>
  <c r="J4" i="17"/>
  <c r="I43" i="17"/>
  <c r="J43" i="17"/>
  <c r="I44" i="17"/>
  <c r="J44" i="17"/>
  <c r="I45" i="17"/>
  <c r="J45" i="17"/>
  <c r="I50" i="17"/>
  <c r="J50" i="17"/>
  <c r="I51" i="17"/>
  <c r="J51" i="17"/>
  <c r="I54" i="17"/>
  <c r="J54" i="17"/>
  <c r="I55" i="17"/>
  <c r="J55" i="17"/>
  <c r="I56" i="17"/>
  <c r="J56" i="17"/>
  <c r="I58" i="17"/>
  <c r="J58" i="17"/>
  <c r="I26" i="17"/>
  <c r="J26" i="17"/>
  <c r="I27" i="17"/>
  <c r="J27" i="17"/>
  <c r="I29" i="17"/>
  <c r="J29" i="17"/>
  <c r="I34" i="17"/>
  <c r="J34" i="17"/>
  <c r="I38" i="17"/>
  <c r="J38" i="17"/>
  <c r="I40" i="17"/>
  <c r="J40" i="17"/>
  <c r="I5" i="17"/>
  <c r="J5" i="17"/>
  <c r="I8" i="17"/>
  <c r="J8" i="17"/>
  <c r="I10" i="17"/>
  <c r="J10" i="17"/>
  <c r="I12" i="17"/>
  <c r="J12" i="17"/>
  <c r="I13" i="17"/>
  <c r="J13" i="17"/>
  <c r="I14" i="17"/>
  <c r="J14" i="17"/>
  <c r="I15" i="17"/>
  <c r="J15" i="17"/>
  <c r="I18" i="17"/>
  <c r="J18" i="17"/>
  <c r="I19" i="17"/>
  <c r="J19" i="17"/>
  <c r="I20" i="17"/>
  <c r="J20" i="17"/>
  <c r="I4" i="17"/>
  <c r="G5" i="17"/>
  <c r="H5" i="17"/>
  <c r="G6" i="17"/>
  <c r="H6" i="17"/>
  <c r="G7" i="17"/>
  <c r="H7" i="17"/>
  <c r="G8" i="17"/>
  <c r="H8" i="17"/>
  <c r="G9" i="17"/>
  <c r="H9" i="17"/>
  <c r="G10" i="17"/>
  <c r="H10" i="17"/>
  <c r="G11" i="17"/>
  <c r="H11" i="17"/>
  <c r="G12" i="17"/>
  <c r="H12" i="17"/>
  <c r="G13" i="17"/>
  <c r="H13" i="17"/>
  <c r="G14" i="17"/>
  <c r="H14" i="17"/>
  <c r="G15" i="17"/>
  <c r="H15" i="17"/>
  <c r="G16" i="17"/>
  <c r="H16" i="17"/>
  <c r="G17" i="17"/>
  <c r="H17" i="17"/>
  <c r="G18" i="17"/>
  <c r="H18" i="17"/>
  <c r="G19" i="17"/>
  <c r="H19" i="17"/>
  <c r="G20" i="17"/>
  <c r="H20" i="17"/>
  <c r="G21" i="17"/>
  <c r="H21" i="17"/>
  <c r="G22" i="17"/>
  <c r="H22" i="17"/>
  <c r="G23" i="17"/>
  <c r="H23" i="17"/>
  <c r="G24" i="17"/>
  <c r="H24" i="17"/>
  <c r="G25" i="17"/>
  <c r="H25" i="17"/>
  <c r="G26" i="17"/>
  <c r="H26" i="17"/>
  <c r="G27" i="17"/>
  <c r="H27" i="17"/>
  <c r="G28" i="17"/>
  <c r="H28" i="17"/>
  <c r="G29" i="17"/>
  <c r="H29" i="17"/>
  <c r="G30" i="17"/>
  <c r="H30" i="17"/>
  <c r="G31" i="17"/>
  <c r="H31" i="17"/>
  <c r="G32" i="17"/>
  <c r="H32" i="17"/>
  <c r="G33" i="17"/>
  <c r="H33" i="17"/>
  <c r="G34" i="17"/>
  <c r="H34" i="17"/>
  <c r="G35" i="17"/>
  <c r="H35" i="17"/>
  <c r="G36" i="17"/>
  <c r="H36" i="17"/>
  <c r="G37" i="17"/>
  <c r="H37" i="17"/>
  <c r="G38" i="17"/>
  <c r="H38" i="17"/>
  <c r="G39" i="17"/>
  <c r="G40" i="17"/>
  <c r="H40" i="17"/>
  <c r="G41" i="17"/>
  <c r="H41" i="17"/>
  <c r="G42" i="17"/>
  <c r="H42" i="17"/>
  <c r="G43" i="17"/>
  <c r="H43" i="17"/>
  <c r="G44" i="17"/>
  <c r="H44" i="17"/>
  <c r="G45" i="17"/>
  <c r="H45" i="17"/>
  <c r="G46" i="17"/>
  <c r="H46" i="17"/>
  <c r="G47" i="17"/>
  <c r="H47" i="17"/>
  <c r="G48" i="17"/>
  <c r="H48" i="17"/>
  <c r="G49" i="17"/>
  <c r="H49" i="17"/>
  <c r="G50" i="17"/>
  <c r="H50" i="17"/>
  <c r="G51" i="17"/>
  <c r="H51" i="17"/>
  <c r="G52" i="17"/>
  <c r="H52" i="17"/>
  <c r="G53" i="17"/>
  <c r="H53" i="17"/>
  <c r="G54" i="17"/>
  <c r="H54" i="17"/>
  <c r="G55" i="17"/>
  <c r="H55" i="17"/>
  <c r="G56" i="17"/>
  <c r="H56" i="17"/>
  <c r="G57" i="17"/>
  <c r="H57" i="17"/>
  <c r="G58" i="17"/>
  <c r="H58" i="17"/>
  <c r="G59" i="17"/>
  <c r="H59" i="17"/>
  <c r="G60" i="17"/>
  <c r="H60" i="17"/>
  <c r="G61" i="17"/>
  <c r="H61" i="17"/>
  <c r="G62" i="17"/>
  <c r="H62" i="17"/>
  <c r="B61" i="17"/>
  <c r="B5" i="17"/>
  <c r="B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4" i="17"/>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3" i="11"/>
  <c r="A34"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4" i="11"/>
  <c r="A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4" i="12"/>
  <c r="A62"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4" i="10"/>
  <c r="A14" i="19"/>
  <c r="B14" i="19"/>
  <c r="A45" i="19"/>
  <c r="B45" i="19"/>
  <c r="A25" i="19"/>
  <c r="B25" i="19"/>
  <c r="A43" i="19"/>
  <c r="P43" i="19" s="1"/>
  <c r="B43" i="19"/>
  <c r="A33" i="19"/>
  <c r="B33" i="19"/>
  <c r="A36" i="19"/>
  <c r="B36" i="19"/>
  <c r="A4" i="19"/>
  <c r="B4" i="19"/>
  <c r="A5" i="19"/>
  <c r="B5" i="19"/>
  <c r="A7" i="19"/>
  <c r="B7" i="19"/>
  <c r="A19" i="19"/>
  <c r="B19" i="19"/>
  <c r="A20" i="19"/>
  <c r="B20" i="19"/>
  <c r="A21" i="19"/>
  <c r="B21" i="19"/>
  <c r="A44" i="19"/>
  <c r="B44" i="19"/>
  <c r="A66" i="19"/>
  <c r="B66" i="19"/>
  <c r="A41" i="19"/>
  <c r="B41" i="19"/>
  <c r="A58" i="19"/>
  <c r="B58" i="19"/>
  <c r="A61" i="19"/>
  <c r="B61" i="19"/>
  <c r="A9" i="19"/>
  <c r="B9" i="19"/>
  <c r="A39" i="19"/>
  <c r="B39" i="19"/>
  <c r="A52" i="19"/>
  <c r="B52" i="19"/>
  <c r="B51" i="19"/>
  <c r="A68" i="19"/>
  <c r="B68" i="19"/>
  <c r="A67" i="19"/>
  <c r="B67" i="19"/>
  <c r="A28" i="19"/>
  <c r="B28" i="19"/>
  <c r="A47" i="19"/>
  <c r="B47" i="19"/>
  <c r="A60" i="19"/>
  <c r="B60" i="19"/>
  <c r="A29" i="19"/>
  <c r="B29" i="19"/>
  <c r="A38" i="19"/>
  <c r="B38" i="19"/>
  <c r="A62" i="19"/>
  <c r="B62" i="19"/>
  <c r="A46" i="19"/>
  <c r="B46" i="19"/>
  <c r="A30" i="19"/>
  <c r="B30" i="19"/>
  <c r="A8" i="19"/>
  <c r="B8" i="19"/>
  <c r="A65" i="19"/>
  <c r="B65" i="19"/>
  <c r="A10" i="19"/>
  <c r="B10" i="19"/>
  <c r="A57" i="19"/>
  <c r="B57" i="19"/>
  <c r="A40" i="19"/>
  <c r="B40" i="19"/>
  <c r="A35" i="19"/>
  <c r="B35" i="19"/>
  <c r="A55" i="19"/>
  <c r="B55" i="19"/>
  <c r="A63" i="19"/>
  <c r="B63" i="19"/>
  <c r="A59" i="19"/>
  <c r="B59" i="19"/>
  <c r="A64" i="19"/>
  <c r="B64" i="19"/>
  <c r="A69" i="19"/>
  <c r="B69" i="19"/>
  <c r="A48" i="19"/>
  <c r="B48" i="19"/>
  <c r="A53" i="19"/>
  <c r="B53" i="19"/>
  <c r="A50" i="19"/>
  <c r="B50" i="19"/>
  <c r="A49" i="19"/>
  <c r="B49" i="19"/>
  <c r="A54" i="19"/>
  <c r="B54" i="19"/>
  <c r="A26" i="19"/>
  <c r="B26" i="19"/>
  <c r="A27" i="19"/>
  <c r="B27" i="19"/>
  <c r="A31" i="19"/>
  <c r="B31" i="19"/>
  <c r="A32" i="19"/>
  <c r="B32" i="19"/>
  <c r="A16" i="19"/>
  <c r="B16" i="19"/>
  <c r="A18" i="19"/>
  <c r="B18" i="19"/>
  <c r="A17" i="19"/>
  <c r="B17" i="19"/>
  <c r="A24" i="19"/>
  <c r="B24" i="19"/>
  <c r="A22" i="19"/>
  <c r="B22" i="19"/>
  <c r="A37" i="19"/>
  <c r="B37" i="19"/>
  <c r="A42" i="19"/>
  <c r="B42" i="19"/>
  <c r="B13" i="19"/>
  <c r="A13" i="19"/>
  <c r="A5" i="14"/>
  <c r="A6"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4" i="14"/>
  <c r="A5" i="15"/>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4" i="15"/>
  <c r="K23" i="19" l="1"/>
  <c r="K11" i="19"/>
  <c r="K15" i="19"/>
  <c r="K34" i="19"/>
  <c r="K12" i="19"/>
  <c r="K6" i="19"/>
  <c r="G16" i="19"/>
  <c r="H16" i="19"/>
  <c r="H13" i="19"/>
  <c r="G13" i="19"/>
  <c r="H41" i="19"/>
  <c r="G41" i="19"/>
  <c r="H20" i="19"/>
  <c r="G20" i="19"/>
  <c r="H7" i="19"/>
  <c r="G7" i="19"/>
  <c r="G14" i="19"/>
  <c r="H14" i="19"/>
  <c r="H32" i="19"/>
  <c r="G32" i="19"/>
  <c r="H54" i="19"/>
  <c r="G54" i="19"/>
  <c r="H64" i="19"/>
  <c r="G64" i="19"/>
  <c r="H63" i="19"/>
  <c r="G63" i="19"/>
  <c r="H47" i="19"/>
  <c r="G47" i="19"/>
  <c r="H67" i="19"/>
  <c r="G67" i="19"/>
  <c r="G58" i="19"/>
  <c r="H58" i="19"/>
  <c r="G66" i="19"/>
  <c r="H66" i="19"/>
  <c r="G19" i="19"/>
  <c r="H19" i="19"/>
  <c r="G5" i="19"/>
  <c r="H5" i="19"/>
  <c r="G36" i="19"/>
  <c r="H36" i="19"/>
  <c r="G43" i="19"/>
  <c r="H43" i="19"/>
  <c r="G17" i="19"/>
  <c r="H17" i="19"/>
  <c r="G31" i="19"/>
  <c r="H31" i="19"/>
  <c r="G49" i="19"/>
  <c r="H49" i="19"/>
  <c r="G59" i="19"/>
  <c r="H59" i="19"/>
  <c r="G40" i="19"/>
  <c r="H40" i="19"/>
  <c r="G10" i="19"/>
  <c r="H10" i="19"/>
  <c r="G46" i="19"/>
  <c r="H46" i="19"/>
  <c r="G68" i="19"/>
  <c r="H68" i="19"/>
  <c r="K13" i="19"/>
  <c r="J13" i="19"/>
  <c r="I13" i="19"/>
  <c r="J39" i="19"/>
  <c r="I39" i="19"/>
  <c r="N39" i="19"/>
  <c r="O39" i="19"/>
  <c r="L39" i="19"/>
  <c r="M39" i="19"/>
  <c r="N61" i="19"/>
  <c r="I61" i="19"/>
  <c r="L61" i="19"/>
  <c r="M61" i="19"/>
  <c r="J61" i="19"/>
  <c r="O61" i="19"/>
  <c r="J41" i="19"/>
  <c r="I41" i="19"/>
  <c r="N41" i="19"/>
  <c r="O41" i="19"/>
  <c r="L41" i="19"/>
  <c r="M41" i="19"/>
  <c r="N44" i="19"/>
  <c r="J44" i="19"/>
  <c r="L44" i="19"/>
  <c r="M44" i="19"/>
  <c r="I44" i="19"/>
  <c r="O44" i="19"/>
  <c r="J20" i="19"/>
  <c r="I20" i="19"/>
  <c r="N20" i="19"/>
  <c r="O20" i="19"/>
  <c r="L20" i="19"/>
  <c r="M20" i="19"/>
  <c r="N7" i="19"/>
  <c r="I7" i="19"/>
  <c r="L7" i="19"/>
  <c r="M7" i="19"/>
  <c r="J7" i="19"/>
  <c r="O7" i="19"/>
  <c r="J4" i="19"/>
  <c r="I4" i="19"/>
  <c r="N4" i="19"/>
  <c r="O4" i="19"/>
  <c r="L4" i="19"/>
  <c r="M4" i="19"/>
  <c r="N33" i="19"/>
  <c r="O33" i="19"/>
  <c r="J33" i="19"/>
  <c r="L33" i="19"/>
  <c r="M33" i="19"/>
  <c r="I33" i="19"/>
  <c r="J25" i="19"/>
  <c r="I25" i="19"/>
  <c r="N25" i="19"/>
  <c r="O25" i="19"/>
  <c r="L25" i="19"/>
  <c r="M25" i="19"/>
  <c r="N14" i="19"/>
  <c r="O14" i="19"/>
  <c r="I14" i="19"/>
  <c r="L14" i="19"/>
  <c r="M14" i="19"/>
  <c r="J14" i="19"/>
  <c r="J56" i="19"/>
  <c r="I56" i="19"/>
  <c r="O56" i="19"/>
  <c r="L56" i="19"/>
  <c r="M56" i="19"/>
  <c r="N56" i="19"/>
  <c r="I37" i="19"/>
  <c r="O37" i="19"/>
  <c r="J37" i="19"/>
  <c r="M37" i="19"/>
  <c r="N37" i="19"/>
  <c r="L37" i="19"/>
  <c r="J24" i="19"/>
  <c r="I24" i="19"/>
  <c r="N24" i="19"/>
  <c r="O24" i="19"/>
  <c r="L24" i="19"/>
  <c r="M24" i="19"/>
  <c r="N18" i="19"/>
  <c r="J18" i="19"/>
  <c r="L18" i="19"/>
  <c r="I18" i="19"/>
  <c r="M18" i="19"/>
  <c r="O18" i="19"/>
  <c r="J32" i="19"/>
  <c r="I32" i="19"/>
  <c r="N32" i="19"/>
  <c r="O32" i="19"/>
  <c r="L32" i="19"/>
  <c r="M32" i="19"/>
  <c r="N27" i="19"/>
  <c r="I27" i="19"/>
  <c r="L27" i="19"/>
  <c r="M27" i="19"/>
  <c r="J27" i="19"/>
  <c r="O27" i="19"/>
  <c r="J54" i="19"/>
  <c r="I54" i="19"/>
  <c r="N54" i="19"/>
  <c r="O54" i="19"/>
  <c r="L54" i="19"/>
  <c r="M54" i="19"/>
  <c r="N50" i="19"/>
  <c r="J50" i="19"/>
  <c r="L50" i="19"/>
  <c r="I50" i="19"/>
  <c r="M50" i="19"/>
  <c r="O50" i="19"/>
  <c r="J48" i="19"/>
  <c r="I48" i="19"/>
  <c r="N48" i="19"/>
  <c r="O48" i="19"/>
  <c r="M48" i="19"/>
  <c r="L48" i="19"/>
  <c r="N64" i="19"/>
  <c r="I64" i="19"/>
  <c r="L64" i="19"/>
  <c r="J64" i="19"/>
  <c r="O64" i="19"/>
  <c r="M64" i="19"/>
  <c r="J63" i="19"/>
  <c r="I63" i="19"/>
  <c r="N63" i="19"/>
  <c r="O63" i="19"/>
  <c r="L63" i="19"/>
  <c r="M63" i="19"/>
  <c r="N35" i="19"/>
  <c r="J35" i="19"/>
  <c r="L35" i="19"/>
  <c r="I35" i="19"/>
  <c r="M35" i="19"/>
  <c r="O35" i="19"/>
  <c r="J57" i="19"/>
  <c r="I57" i="19"/>
  <c r="N57" i="19"/>
  <c r="O57" i="19"/>
  <c r="L57" i="19"/>
  <c r="M57" i="19"/>
  <c r="N65" i="19"/>
  <c r="I65" i="19"/>
  <c r="L65" i="19"/>
  <c r="M65" i="19"/>
  <c r="J65" i="19"/>
  <c r="O65" i="19"/>
  <c r="J30" i="19"/>
  <c r="I30" i="19"/>
  <c r="N30" i="19"/>
  <c r="O30" i="19"/>
  <c r="L30" i="19"/>
  <c r="M30" i="19"/>
  <c r="N62" i="19"/>
  <c r="J62" i="19"/>
  <c r="L62" i="19"/>
  <c r="I62" i="19"/>
  <c r="M62" i="19"/>
  <c r="O62" i="19"/>
  <c r="J29" i="19"/>
  <c r="I29" i="19"/>
  <c r="N29" i="19"/>
  <c r="O29" i="19"/>
  <c r="M29" i="19"/>
  <c r="L29" i="19"/>
  <c r="N47" i="19"/>
  <c r="I47" i="19"/>
  <c r="L47" i="19"/>
  <c r="J47" i="19"/>
  <c r="O47" i="19"/>
  <c r="M47" i="19"/>
  <c r="J67" i="19"/>
  <c r="I67" i="19"/>
  <c r="N67" i="19"/>
  <c r="O67" i="19"/>
  <c r="L67" i="19"/>
  <c r="M67" i="19"/>
  <c r="N52" i="19"/>
  <c r="J52" i="19"/>
  <c r="I52" i="19"/>
  <c r="M52" i="19"/>
  <c r="O52" i="19"/>
  <c r="L52" i="19"/>
  <c r="N9" i="19"/>
  <c r="M9" i="19"/>
  <c r="I9" i="19"/>
  <c r="O9" i="19"/>
  <c r="J9" i="19"/>
  <c r="L9" i="19"/>
  <c r="N58" i="19"/>
  <c r="J58" i="19"/>
  <c r="I58" i="19"/>
  <c r="L58" i="19"/>
  <c r="M58" i="19"/>
  <c r="O58" i="19"/>
  <c r="N66" i="19"/>
  <c r="M66" i="19"/>
  <c r="J66" i="19"/>
  <c r="O66" i="19"/>
  <c r="I66" i="19"/>
  <c r="L66" i="19"/>
  <c r="N21" i="19"/>
  <c r="J21" i="19"/>
  <c r="I21" i="19"/>
  <c r="L21" i="19"/>
  <c r="M21" i="19"/>
  <c r="O21" i="19"/>
  <c r="N19" i="19"/>
  <c r="M19" i="19"/>
  <c r="I19" i="19"/>
  <c r="O19" i="19"/>
  <c r="J19" i="19"/>
  <c r="L19" i="19"/>
  <c r="N5" i="19"/>
  <c r="J5" i="19"/>
  <c r="I5" i="19"/>
  <c r="L5" i="19"/>
  <c r="M5" i="19"/>
  <c r="O5" i="19"/>
  <c r="N36" i="19"/>
  <c r="O36" i="19"/>
  <c r="L36" i="19"/>
  <c r="J36" i="19"/>
  <c r="M36" i="19"/>
  <c r="I36" i="19"/>
  <c r="N43" i="19"/>
  <c r="J43" i="19"/>
  <c r="I43" i="19"/>
  <c r="O43" i="19"/>
  <c r="L43" i="19"/>
  <c r="M43" i="19"/>
  <c r="N45" i="19"/>
  <c r="O45" i="19"/>
  <c r="L45" i="19"/>
  <c r="I45" i="19"/>
  <c r="M45" i="19"/>
  <c r="J45" i="19"/>
  <c r="N51" i="19"/>
  <c r="J51" i="19"/>
  <c r="L51" i="19"/>
  <c r="I51" i="19"/>
  <c r="M51" i="19"/>
  <c r="O51" i="19"/>
  <c r="O42" i="19"/>
  <c r="I42" i="19"/>
  <c r="N42" i="19"/>
  <c r="J42" i="19"/>
  <c r="L42" i="19"/>
  <c r="M42" i="19"/>
  <c r="J22" i="19"/>
  <c r="I22" i="19"/>
  <c r="O22" i="19"/>
  <c r="L22" i="19"/>
  <c r="M22" i="19"/>
  <c r="N22" i="19"/>
  <c r="N17" i="19"/>
  <c r="M17" i="19"/>
  <c r="J17" i="19"/>
  <c r="L17" i="19"/>
  <c r="O17" i="19"/>
  <c r="I17" i="19"/>
  <c r="N16" i="19"/>
  <c r="J16" i="19"/>
  <c r="I16" i="19"/>
  <c r="M16" i="19"/>
  <c r="O16" i="19"/>
  <c r="L16" i="19"/>
  <c r="N31" i="19"/>
  <c r="M31" i="19"/>
  <c r="I31" i="19"/>
  <c r="O31" i="19"/>
  <c r="J31" i="19"/>
  <c r="L31" i="19"/>
  <c r="N26" i="19"/>
  <c r="J26" i="19"/>
  <c r="I26" i="19"/>
  <c r="O26" i="19"/>
  <c r="L26" i="19"/>
  <c r="M26" i="19"/>
  <c r="N49" i="19"/>
  <c r="M49" i="19"/>
  <c r="J49" i="19"/>
  <c r="I49" i="19"/>
  <c r="L49" i="19"/>
  <c r="O49" i="19"/>
  <c r="N53" i="19"/>
  <c r="J53" i="19"/>
  <c r="I53" i="19"/>
  <c r="L53" i="19"/>
  <c r="M53" i="19"/>
  <c r="O53" i="19"/>
  <c r="N69" i="19"/>
  <c r="M69" i="19"/>
  <c r="I69" i="19"/>
  <c r="J69" i="19"/>
  <c r="L69" i="19"/>
  <c r="O69" i="19"/>
  <c r="N59" i="19"/>
  <c r="J59" i="19"/>
  <c r="I59" i="19"/>
  <c r="L59" i="19"/>
  <c r="M59" i="19"/>
  <c r="O59" i="19"/>
  <c r="N55" i="19"/>
  <c r="M55" i="19"/>
  <c r="J55" i="19"/>
  <c r="L55" i="19"/>
  <c r="O55" i="19"/>
  <c r="I55" i="19"/>
  <c r="N40" i="19"/>
  <c r="J40" i="19"/>
  <c r="I40" i="19"/>
  <c r="M40" i="19"/>
  <c r="O40" i="19"/>
  <c r="L40" i="19"/>
  <c r="N10" i="19"/>
  <c r="M10" i="19"/>
  <c r="I10" i="19"/>
  <c r="O10" i="19"/>
  <c r="J10" i="19"/>
  <c r="L10" i="19"/>
  <c r="N8" i="19"/>
  <c r="J8" i="19"/>
  <c r="I8" i="19"/>
  <c r="O8" i="19"/>
  <c r="L8" i="19"/>
  <c r="M8" i="19"/>
  <c r="N46" i="19"/>
  <c r="M46" i="19"/>
  <c r="J46" i="19"/>
  <c r="I46" i="19"/>
  <c r="L46" i="19"/>
  <c r="O46" i="19"/>
  <c r="N38" i="19"/>
  <c r="J38" i="19"/>
  <c r="I38" i="19"/>
  <c r="L38" i="19"/>
  <c r="M38" i="19"/>
  <c r="O38" i="19"/>
  <c r="N60" i="19"/>
  <c r="M60" i="19"/>
  <c r="I60" i="19"/>
  <c r="J60" i="19"/>
  <c r="L60" i="19"/>
  <c r="O60" i="19"/>
  <c r="N28" i="19"/>
  <c r="J28" i="19"/>
  <c r="I28" i="19"/>
  <c r="L28" i="19"/>
  <c r="M28" i="19"/>
  <c r="O28" i="19"/>
  <c r="N68" i="19"/>
  <c r="M68" i="19"/>
  <c r="J68" i="19"/>
  <c r="L68" i="19"/>
  <c r="O68" i="19"/>
  <c r="I68" i="19"/>
  <c r="G4" i="17"/>
  <c r="H4" i="17"/>
  <c r="P45" i="19"/>
  <c r="P36" i="19"/>
  <c r="P19" i="19"/>
  <c r="P66" i="19"/>
  <c r="P9" i="19"/>
  <c r="P68" i="19"/>
  <c r="P60" i="19"/>
  <c r="P46" i="19"/>
  <c r="P10" i="19"/>
  <c r="P55" i="19"/>
  <c r="P69" i="19"/>
  <c r="P49" i="19"/>
  <c r="P31" i="19"/>
  <c r="P17" i="19"/>
  <c r="P42" i="19"/>
  <c r="P7" i="19"/>
  <c r="P51" i="19"/>
  <c r="P65" i="19"/>
  <c r="P50" i="19"/>
  <c r="P37" i="19"/>
  <c r="P25" i="19"/>
  <c r="P4" i="19"/>
  <c r="P20" i="19"/>
  <c r="P41" i="19"/>
  <c r="P39" i="19"/>
  <c r="P67" i="19"/>
  <c r="P29" i="19"/>
  <c r="P30" i="19"/>
  <c r="P57" i="19"/>
  <c r="P63" i="19"/>
  <c r="P48" i="19"/>
  <c r="P54" i="19"/>
  <c r="P32" i="19"/>
  <c r="P24" i="19"/>
  <c r="P56" i="19"/>
  <c r="P33" i="19"/>
  <c r="P61" i="19"/>
  <c r="P62" i="19"/>
  <c r="P35" i="19"/>
  <c r="P27" i="19"/>
  <c r="P5" i="19"/>
  <c r="P21" i="19"/>
  <c r="P58" i="19"/>
  <c r="P52" i="19"/>
  <c r="P28" i="19"/>
  <c r="P38" i="19"/>
  <c r="P8" i="19"/>
  <c r="P40" i="19"/>
  <c r="P59" i="19"/>
  <c r="P53" i="19"/>
  <c r="P26" i="19"/>
  <c r="P16" i="19"/>
  <c r="P22" i="19"/>
  <c r="P14" i="19"/>
  <c r="P44" i="19"/>
  <c r="P47" i="19"/>
  <c r="P64" i="19"/>
  <c r="P18" i="19"/>
  <c r="F13" i="19"/>
  <c r="F17" i="19"/>
  <c r="F16" i="19"/>
  <c r="F32" i="19"/>
  <c r="F31" i="19"/>
  <c r="F54" i="19"/>
  <c r="F49" i="19"/>
  <c r="F64" i="19"/>
  <c r="F59" i="19"/>
  <c r="F63" i="19"/>
  <c r="F40" i="19"/>
  <c r="F10" i="19"/>
  <c r="F46" i="19"/>
  <c r="F47" i="19"/>
  <c r="F67" i="19"/>
  <c r="F68" i="19"/>
  <c r="F58" i="19"/>
  <c r="F41" i="19"/>
  <c r="F66" i="19"/>
  <c r="F20" i="19"/>
  <c r="F19" i="19"/>
  <c r="F7" i="19"/>
  <c r="F5" i="19"/>
  <c r="F36" i="19"/>
  <c r="F43" i="19"/>
  <c r="F14" i="19"/>
  <c r="C56" i="19"/>
  <c r="AC63" i="17"/>
  <c r="K63" i="17" s="1"/>
  <c r="G56" i="19" s="1"/>
  <c r="J63" i="17"/>
  <c r="C13" i="19"/>
  <c r="F56" i="19"/>
  <c r="E17" i="19"/>
  <c r="E16" i="19"/>
  <c r="E32" i="19"/>
  <c r="E31" i="19"/>
  <c r="E54" i="19"/>
  <c r="E49" i="19"/>
  <c r="E64" i="19"/>
  <c r="E59" i="19"/>
  <c r="E63" i="19"/>
  <c r="E40" i="19"/>
  <c r="E10" i="19"/>
  <c r="E46" i="19"/>
  <c r="E47" i="19"/>
  <c r="E67" i="19"/>
  <c r="E68" i="19"/>
  <c r="E58" i="19"/>
  <c r="E41" i="19"/>
  <c r="E66" i="19"/>
  <c r="E20" i="19"/>
  <c r="E19" i="19"/>
  <c r="E7" i="19"/>
  <c r="E5" i="19"/>
  <c r="E36" i="19"/>
  <c r="E43" i="19"/>
  <c r="E14" i="19"/>
  <c r="AD63" i="17"/>
  <c r="D13" i="19"/>
  <c r="E56" i="19"/>
  <c r="D42" i="19"/>
  <c r="D37" i="19"/>
  <c r="D22" i="19"/>
  <c r="D24" i="19"/>
  <c r="D17" i="19"/>
  <c r="D18" i="19"/>
  <c r="D16" i="19"/>
  <c r="D32" i="19"/>
  <c r="D31" i="19"/>
  <c r="D27" i="19"/>
  <c r="D26" i="19"/>
  <c r="D54" i="19"/>
  <c r="D49" i="19"/>
  <c r="D50" i="19"/>
  <c r="D53" i="19"/>
  <c r="D48" i="19"/>
  <c r="D69" i="19"/>
  <c r="D64" i="19"/>
  <c r="D59" i="19"/>
  <c r="D63" i="19"/>
  <c r="D55" i="19"/>
  <c r="D35" i="19"/>
  <c r="D40" i="19"/>
  <c r="D10" i="19"/>
  <c r="D65" i="19"/>
  <c r="D8" i="19"/>
  <c r="D30" i="19"/>
  <c r="D46" i="19"/>
  <c r="D62" i="19"/>
  <c r="D38" i="19"/>
  <c r="D29" i="19"/>
  <c r="D60" i="19"/>
  <c r="D47" i="19"/>
  <c r="D28" i="19"/>
  <c r="D67" i="19"/>
  <c r="D68" i="19"/>
  <c r="D51" i="19"/>
  <c r="D52" i="19"/>
  <c r="D39" i="19"/>
  <c r="D9" i="19"/>
  <c r="D61" i="19"/>
  <c r="D58" i="19"/>
  <c r="D41" i="19"/>
  <c r="D66" i="19"/>
  <c r="D44" i="19"/>
  <c r="D21" i="19"/>
  <c r="D20" i="19"/>
  <c r="D19" i="19"/>
  <c r="D7" i="19"/>
  <c r="D5" i="19"/>
  <c r="D4" i="19"/>
  <c r="D36" i="19"/>
  <c r="D33" i="19"/>
  <c r="D43" i="19"/>
  <c r="D25" i="19"/>
  <c r="D45" i="19"/>
  <c r="D14" i="19"/>
  <c r="E13" i="19"/>
  <c r="D56" i="19"/>
  <c r="C42" i="19"/>
  <c r="C37" i="19"/>
  <c r="C22" i="19"/>
  <c r="C24" i="19"/>
  <c r="C17" i="19"/>
  <c r="C18" i="19"/>
  <c r="C16" i="19"/>
  <c r="C32" i="19"/>
  <c r="C31" i="19"/>
  <c r="C27" i="19"/>
  <c r="C26" i="19"/>
  <c r="C54" i="19"/>
  <c r="C49" i="19"/>
  <c r="C50" i="19"/>
  <c r="C53" i="19"/>
  <c r="C48" i="19"/>
  <c r="C69" i="19"/>
  <c r="C64" i="19"/>
  <c r="C59" i="19"/>
  <c r="C63" i="19"/>
  <c r="C55" i="19"/>
  <c r="C35" i="19"/>
  <c r="C40" i="19"/>
  <c r="C57" i="19"/>
  <c r="C10" i="19"/>
  <c r="C65" i="19"/>
  <c r="C8" i="19"/>
  <c r="C30" i="19"/>
  <c r="C46" i="19"/>
  <c r="C62" i="19"/>
  <c r="C38" i="19"/>
  <c r="C29" i="19"/>
  <c r="C60" i="19"/>
  <c r="C47" i="19"/>
  <c r="C28" i="19"/>
  <c r="C67" i="19"/>
  <c r="C68" i="19"/>
  <c r="C51" i="19"/>
  <c r="C52" i="19"/>
  <c r="C39" i="19"/>
  <c r="C9" i="19"/>
  <c r="C61" i="19"/>
  <c r="C58" i="19"/>
  <c r="C41" i="19"/>
  <c r="C66" i="19"/>
  <c r="C44" i="19"/>
  <c r="C21" i="19"/>
  <c r="C20" i="19"/>
  <c r="C19" i="19"/>
  <c r="C7" i="19"/>
  <c r="C5" i="19"/>
  <c r="C4" i="19"/>
  <c r="C36" i="19"/>
  <c r="C33" i="19"/>
  <c r="C43" i="19"/>
  <c r="C25" i="19"/>
  <c r="C45" i="19"/>
  <c r="C14" i="19"/>
  <c r="K38" i="19"/>
  <c r="K14" i="19"/>
  <c r="K45" i="19"/>
  <c r="K36" i="19"/>
  <c r="K19" i="19"/>
  <c r="K66" i="19"/>
  <c r="K9" i="19"/>
  <c r="K68" i="19"/>
  <c r="K60" i="19"/>
  <c r="K30" i="19"/>
  <c r="K57" i="19"/>
  <c r="K63" i="19"/>
  <c r="K48" i="19"/>
  <c r="K54" i="19"/>
  <c r="K32" i="19"/>
  <c r="K24" i="19"/>
  <c r="K56" i="19"/>
  <c r="K7" i="19"/>
  <c r="K61" i="19"/>
  <c r="K47" i="19"/>
  <c r="K46" i="19"/>
  <c r="K69" i="19"/>
  <c r="K49" i="19"/>
  <c r="K17" i="19"/>
  <c r="K25" i="19"/>
  <c r="K4" i="19"/>
  <c r="K20" i="19"/>
  <c r="K41" i="19"/>
  <c r="K39" i="19"/>
  <c r="K67" i="19"/>
  <c r="K29" i="19"/>
  <c r="K8" i="19"/>
  <c r="K40" i="19"/>
  <c r="K59" i="19"/>
  <c r="K53" i="19"/>
  <c r="K26" i="19"/>
  <c r="K16" i="19"/>
  <c r="K22" i="19"/>
  <c r="K43" i="19"/>
  <c r="K5" i="19"/>
  <c r="K21" i="19"/>
  <c r="K58" i="19"/>
  <c r="K52" i="19"/>
  <c r="K28" i="19"/>
  <c r="K62" i="19"/>
  <c r="K65" i="19"/>
  <c r="K35" i="19"/>
  <c r="K64" i="19"/>
  <c r="K50" i="19"/>
  <c r="K27" i="19"/>
  <c r="K18" i="19"/>
  <c r="K37" i="19"/>
  <c r="K33" i="19"/>
  <c r="K44" i="19"/>
  <c r="K51" i="19"/>
  <c r="K10" i="19"/>
  <c r="K55" i="19"/>
  <c r="K31" i="19"/>
  <c r="K42" i="19"/>
  <c r="AK63" i="17"/>
  <c r="L63" i="17" s="1"/>
  <c r="H56" i="19" s="1"/>
  <c r="AQ63" i="17"/>
  <c r="P13" i="19"/>
  <c r="L13" i="19"/>
  <c r="O13" i="19"/>
  <c r="N13" i="19"/>
  <c r="M13" i="19"/>
  <c r="AJ46" i="17"/>
  <c r="AI46" i="17"/>
  <c r="AB46" i="17"/>
  <c r="AA46" i="17"/>
  <c r="AJ37" i="17"/>
  <c r="AI37" i="17"/>
  <c r="AB37" i="17"/>
  <c r="AA37" i="17"/>
  <c r="AJ33" i="17"/>
  <c r="AI33" i="17"/>
  <c r="AB33" i="17"/>
  <c r="AA33" i="17"/>
  <c r="AJ21" i="17"/>
  <c r="AI21" i="17"/>
  <c r="AB21" i="17"/>
  <c r="AA21" i="17"/>
  <c r="AJ30" i="17"/>
  <c r="AI30" i="17"/>
  <c r="AB30" i="17"/>
  <c r="AA30" i="17"/>
  <c r="J39" i="17"/>
  <c r="F57" i="19" s="1"/>
  <c r="L39" i="17"/>
  <c r="H57" i="19" s="1"/>
  <c r="I39" i="17"/>
  <c r="E57" i="19" s="1"/>
  <c r="AJ42" i="17"/>
  <c r="AI42" i="17"/>
  <c r="AB42" i="17"/>
  <c r="AA42" i="17"/>
  <c r="AJ48" i="17"/>
  <c r="AI48" i="17"/>
  <c r="AB48" i="17"/>
  <c r="AA48" i="17"/>
  <c r="AJ25" i="17"/>
  <c r="AI25" i="17"/>
  <c r="AB25" i="17"/>
  <c r="AA25" i="17"/>
  <c r="AJ24" i="17"/>
  <c r="AI24" i="17"/>
  <c r="AB24" i="17"/>
  <c r="AA24" i="17"/>
  <c r="AJ49" i="17"/>
  <c r="AI49" i="17"/>
  <c r="AB49" i="17"/>
  <c r="AA49" i="17"/>
  <c r="AJ47" i="17"/>
  <c r="AI47" i="17"/>
  <c r="AB47" i="17"/>
  <c r="AA47" i="17"/>
  <c r="AJ6" i="17"/>
  <c r="AI6" i="17"/>
  <c r="AB6" i="17"/>
  <c r="AA6" i="17"/>
  <c r="AJ17" i="17"/>
  <c r="AI17" i="17"/>
  <c r="AB17" i="17"/>
  <c r="AA17" i="17"/>
  <c r="AJ62" i="17"/>
  <c r="AI62" i="17"/>
  <c r="AB62" i="17"/>
  <c r="AA62" i="17"/>
  <c r="AJ23" i="17"/>
  <c r="AI23" i="17"/>
  <c r="AB23" i="17"/>
  <c r="AA23" i="17"/>
  <c r="AJ32" i="17"/>
  <c r="AI32" i="17"/>
  <c r="AB32" i="17"/>
  <c r="AA32" i="17"/>
  <c r="AJ61" i="17"/>
  <c r="AI61" i="17"/>
  <c r="AB61" i="17"/>
  <c r="AA61" i="17"/>
  <c r="AJ41" i="17"/>
  <c r="AI41" i="17"/>
  <c r="AB41" i="17"/>
  <c r="AA41" i="17"/>
  <c r="AJ9" i="17"/>
  <c r="AI9" i="17"/>
  <c r="AB9" i="17"/>
  <c r="AA9" i="17"/>
  <c r="AJ31" i="17"/>
  <c r="AI31" i="17"/>
  <c r="AB31" i="17"/>
  <c r="AA31" i="17"/>
  <c r="AJ35" i="17"/>
  <c r="AI35" i="17"/>
  <c r="AB35" i="17"/>
  <c r="AA35" i="17"/>
  <c r="AJ28" i="17"/>
  <c r="AI28" i="17"/>
  <c r="AB28" i="17"/>
  <c r="AA28" i="17"/>
  <c r="AJ53" i="17"/>
  <c r="AI53" i="17"/>
  <c r="AB53" i="17"/>
  <c r="AA53" i="17"/>
  <c r="AJ52" i="17"/>
  <c r="AI52" i="17"/>
  <c r="AB52" i="17"/>
  <c r="AA52" i="17"/>
  <c r="AJ7" i="17"/>
  <c r="AI7" i="17"/>
  <c r="AB7" i="17"/>
  <c r="AA7" i="17"/>
  <c r="AJ59" i="17"/>
  <c r="AI59" i="17"/>
  <c r="AB59" i="17"/>
  <c r="AA59" i="17"/>
  <c r="AJ60" i="17"/>
  <c r="AI60" i="17"/>
  <c r="AB60" i="17"/>
  <c r="AA60" i="17"/>
  <c r="AJ16" i="17"/>
  <c r="AI16" i="17"/>
  <c r="AB16" i="17"/>
  <c r="AA16" i="17"/>
  <c r="AJ57" i="17"/>
  <c r="AI57" i="17"/>
  <c r="AB57" i="17"/>
  <c r="AA57" i="17"/>
  <c r="AJ36" i="17"/>
  <c r="AI36" i="17"/>
  <c r="AB36" i="17"/>
  <c r="AA36" i="17"/>
  <c r="AJ22" i="17"/>
  <c r="AI22" i="17"/>
  <c r="AB22" i="17"/>
  <c r="AA22" i="17"/>
  <c r="AJ11" i="17"/>
  <c r="AI11" i="17"/>
  <c r="AB11" i="17"/>
  <c r="AA11" i="17"/>
  <c r="AL11" i="17" l="1"/>
  <c r="J11" i="17"/>
  <c r="F4" i="19" s="1"/>
  <c r="AL22" i="17"/>
  <c r="J22" i="17"/>
  <c r="F9" i="19" s="1"/>
  <c r="AL36" i="17"/>
  <c r="J36" i="17"/>
  <c r="F8" i="19" s="1"/>
  <c r="AL57" i="17"/>
  <c r="J57" i="17"/>
  <c r="F18" i="19" s="1"/>
  <c r="AL16" i="17"/>
  <c r="J16" i="17"/>
  <c r="F21" i="19" s="1"/>
  <c r="AL60" i="17"/>
  <c r="J60" i="17"/>
  <c r="F22" i="19" s="1"/>
  <c r="AL59" i="17"/>
  <c r="J59" i="17"/>
  <c r="F24" i="19" s="1"/>
  <c r="AL7" i="17"/>
  <c r="J7" i="17"/>
  <c r="F25" i="19" s="1"/>
  <c r="AL52" i="17"/>
  <c r="J52" i="17"/>
  <c r="F26" i="19" s="1"/>
  <c r="AL53" i="17"/>
  <c r="J53" i="17"/>
  <c r="F27" i="19" s="1"/>
  <c r="AL28" i="17"/>
  <c r="J28" i="17"/>
  <c r="F28" i="19" s="1"/>
  <c r="AL35" i="17"/>
  <c r="J35" i="17"/>
  <c r="F30" i="19" s="1"/>
  <c r="AL31" i="17"/>
  <c r="J31" i="17"/>
  <c r="F29" i="19" s="1"/>
  <c r="AL9" i="17"/>
  <c r="J9" i="17"/>
  <c r="F33" i="19" s="1"/>
  <c r="AL41" i="17"/>
  <c r="J41" i="17"/>
  <c r="F35" i="19" s="1"/>
  <c r="AL61" i="17"/>
  <c r="J61" i="17"/>
  <c r="F37" i="19" s="1"/>
  <c r="AL32" i="17"/>
  <c r="J32" i="17"/>
  <c r="F38" i="19" s="1"/>
  <c r="AL23" i="17"/>
  <c r="J23" i="17"/>
  <c r="F39" i="19" s="1"/>
  <c r="AL62" i="17"/>
  <c r="J62" i="17"/>
  <c r="F42" i="19" s="1"/>
  <c r="AL17" i="17"/>
  <c r="J17" i="17"/>
  <c r="F44" i="19" s="1"/>
  <c r="AL6" i="17"/>
  <c r="J6" i="17"/>
  <c r="F45" i="19" s="1"/>
  <c r="AL47" i="17"/>
  <c r="J47" i="17"/>
  <c r="F48" i="19" s="1"/>
  <c r="AL49" i="17"/>
  <c r="J49" i="17"/>
  <c r="F50" i="19" s="1"/>
  <c r="AL24" i="17"/>
  <c r="J24" i="17"/>
  <c r="F52" i="19" s="1"/>
  <c r="AL25" i="17"/>
  <c r="J25" i="17"/>
  <c r="F51" i="19" s="1"/>
  <c r="AL48" i="17"/>
  <c r="J48" i="17"/>
  <c r="F53" i="19" s="1"/>
  <c r="AL42" i="17"/>
  <c r="J42" i="17"/>
  <c r="F55" i="19" s="1"/>
  <c r="AL30" i="17"/>
  <c r="J30" i="17"/>
  <c r="F60" i="19" s="1"/>
  <c r="AL21" i="17"/>
  <c r="J21" i="17"/>
  <c r="F61" i="19" s="1"/>
  <c r="AL33" i="17"/>
  <c r="J33" i="17"/>
  <c r="F62" i="19" s="1"/>
  <c r="AL37" i="17"/>
  <c r="J37" i="17"/>
  <c r="F65" i="19" s="1"/>
  <c r="AL46" i="17"/>
  <c r="J46" i="17"/>
  <c r="F69" i="19" s="1"/>
  <c r="AD11" i="17"/>
  <c r="AQ11" i="17" s="1"/>
  <c r="I11" i="17"/>
  <c r="E4" i="19" s="1"/>
  <c r="AD22" i="17"/>
  <c r="I22" i="17"/>
  <c r="E9" i="19" s="1"/>
  <c r="AD36" i="17"/>
  <c r="AQ36" i="17" s="1"/>
  <c r="I36" i="17"/>
  <c r="E8" i="19" s="1"/>
  <c r="AD57" i="17"/>
  <c r="I57" i="17"/>
  <c r="E18" i="19" s="1"/>
  <c r="AD16" i="17"/>
  <c r="AQ16" i="17" s="1"/>
  <c r="I16" i="17"/>
  <c r="E21" i="19" s="1"/>
  <c r="AD60" i="17"/>
  <c r="I60" i="17"/>
  <c r="E22" i="19" s="1"/>
  <c r="AD59" i="17"/>
  <c r="I59" i="17"/>
  <c r="E24" i="19" s="1"/>
  <c r="AD7" i="17"/>
  <c r="I7" i="17"/>
  <c r="E25" i="19" s="1"/>
  <c r="AD52" i="17"/>
  <c r="AQ52" i="17" s="1"/>
  <c r="I52" i="17"/>
  <c r="E26" i="19" s="1"/>
  <c r="AD53" i="17"/>
  <c r="I53" i="17"/>
  <c r="E27" i="19" s="1"/>
  <c r="AD28" i="17"/>
  <c r="AQ28" i="17" s="1"/>
  <c r="I28" i="17"/>
  <c r="E28" i="19" s="1"/>
  <c r="AD35" i="17"/>
  <c r="I35" i="17"/>
  <c r="E30" i="19" s="1"/>
  <c r="AD31" i="17"/>
  <c r="I31" i="17"/>
  <c r="E29" i="19" s="1"/>
  <c r="AD9" i="17"/>
  <c r="I9" i="17"/>
  <c r="E33" i="19" s="1"/>
  <c r="AD41" i="17"/>
  <c r="AQ41" i="17" s="1"/>
  <c r="I41" i="17"/>
  <c r="E35" i="19" s="1"/>
  <c r="AD61" i="17"/>
  <c r="I61" i="17"/>
  <c r="E37" i="19" s="1"/>
  <c r="AD32" i="17"/>
  <c r="AQ32" i="17" s="1"/>
  <c r="I32" i="17"/>
  <c r="E38" i="19" s="1"/>
  <c r="AD23" i="17"/>
  <c r="I23" i="17"/>
  <c r="E39" i="19" s="1"/>
  <c r="AD62" i="17"/>
  <c r="AQ62" i="17" s="1"/>
  <c r="I62" i="17"/>
  <c r="E42" i="19" s="1"/>
  <c r="AD17" i="17"/>
  <c r="AQ17" i="17" s="1"/>
  <c r="I17" i="17"/>
  <c r="E44" i="19" s="1"/>
  <c r="AD6" i="17"/>
  <c r="AQ6" i="17" s="1"/>
  <c r="I6" i="17"/>
  <c r="E45" i="19" s="1"/>
  <c r="AD47" i="17"/>
  <c r="AQ47" i="17" s="1"/>
  <c r="I47" i="17"/>
  <c r="E48" i="19" s="1"/>
  <c r="AD49" i="17"/>
  <c r="AQ49" i="17" s="1"/>
  <c r="I49" i="17"/>
  <c r="E50" i="19" s="1"/>
  <c r="AD24" i="17"/>
  <c r="I24" i="17"/>
  <c r="E52" i="19" s="1"/>
  <c r="AD25" i="17"/>
  <c r="AQ25" i="17" s="1"/>
  <c r="I25" i="17"/>
  <c r="E51" i="19" s="1"/>
  <c r="AD48" i="17"/>
  <c r="AQ48" i="17" s="1"/>
  <c r="I48" i="17"/>
  <c r="E53" i="19" s="1"/>
  <c r="AD42" i="17"/>
  <c r="AQ42" i="17" s="1"/>
  <c r="I42" i="17"/>
  <c r="E55" i="19" s="1"/>
  <c r="AD30" i="17"/>
  <c r="AQ30" i="17" s="1"/>
  <c r="I30" i="17"/>
  <c r="E60" i="19" s="1"/>
  <c r="AD21" i="17"/>
  <c r="I21" i="17"/>
  <c r="E61" i="19" s="1"/>
  <c r="AD33" i="17"/>
  <c r="I33" i="17"/>
  <c r="E62" i="19" s="1"/>
  <c r="AD37" i="17"/>
  <c r="AQ37" i="17" s="1"/>
  <c r="I37" i="17"/>
  <c r="E65" i="19" s="1"/>
  <c r="AD46" i="17"/>
  <c r="I46" i="17"/>
  <c r="E69" i="19" s="1"/>
  <c r="D57" i="19"/>
  <c r="AQ24" i="17"/>
  <c r="AQ21" i="17"/>
  <c r="AQ33" i="17"/>
  <c r="AQ46" i="17"/>
  <c r="AK57" i="17"/>
  <c r="L57" i="17" s="1"/>
  <c r="H18" i="19" s="1"/>
  <c r="AK28" i="17"/>
  <c r="L28" i="17" s="1"/>
  <c r="H28" i="19" s="1"/>
  <c r="AQ57" i="17"/>
  <c r="AQ53" i="17"/>
  <c r="AK32" i="17"/>
  <c r="L32" i="17" s="1"/>
  <c r="H38" i="19" s="1"/>
  <c r="AC52" i="17"/>
  <c r="K52" i="17" s="1"/>
  <c r="G26" i="19" s="1"/>
  <c r="AC9" i="17"/>
  <c r="K9" i="17" s="1"/>
  <c r="G33" i="19" s="1"/>
  <c r="AC41" i="17"/>
  <c r="K41" i="17" s="1"/>
  <c r="G35" i="19" s="1"/>
  <c r="AK37" i="17"/>
  <c r="L37" i="17" s="1"/>
  <c r="H65" i="19" s="1"/>
  <c r="AK46" i="17"/>
  <c r="L46" i="17" s="1"/>
  <c r="H69" i="19" s="1"/>
  <c r="AK35" i="17"/>
  <c r="L35" i="17" s="1"/>
  <c r="H30" i="19" s="1"/>
  <c r="AK31" i="17"/>
  <c r="L31" i="17" s="1"/>
  <c r="H29" i="19" s="1"/>
  <c r="AC46" i="17"/>
  <c r="K46" i="17" s="1"/>
  <c r="G69" i="19" s="1"/>
  <c r="AQ35" i="17"/>
  <c r="AK52" i="17"/>
  <c r="L52" i="17" s="1"/>
  <c r="H26" i="19" s="1"/>
  <c r="AK53" i="17"/>
  <c r="L53" i="17" s="1"/>
  <c r="H27" i="19" s="1"/>
  <c r="AC61" i="17"/>
  <c r="K61" i="17" s="1"/>
  <c r="G37" i="19" s="1"/>
  <c r="AC32" i="17"/>
  <c r="K32" i="17" s="1"/>
  <c r="G38" i="19" s="1"/>
  <c r="AK23" i="17"/>
  <c r="L23" i="17" s="1"/>
  <c r="H39" i="19" s="1"/>
  <c r="AK62" i="17"/>
  <c r="L62" i="17" s="1"/>
  <c r="H42" i="19" s="1"/>
  <c r="AK17" i="17"/>
  <c r="L17" i="17" s="1"/>
  <c r="H44" i="19" s="1"/>
  <c r="AK6" i="17"/>
  <c r="L6" i="17" s="1"/>
  <c r="H45" i="19" s="1"/>
  <c r="AK47" i="17"/>
  <c r="L47" i="17" s="1"/>
  <c r="H48" i="19" s="1"/>
  <c r="AK49" i="17"/>
  <c r="L49" i="17" s="1"/>
  <c r="H50" i="19" s="1"/>
  <c r="AK24" i="17"/>
  <c r="L24" i="17" s="1"/>
  <c r="H52" i="19" s="1"/>
  <c r="AK25" i="17"/>
  <c r="L25" i="17" s="1"/>
  <c r="H51" i="19" s="1"/>
  <c r="AK48" i="17"/>
  <c r="L48" i="17" s="1"/>
  <c r="H53" i="19" s="1"/>
  <c r="AK42" i="17"/>
  <c r="L42" i="17" s="1"/>
  <c r="H55" i="19" s="1"/>
  <c r="AK30" i="17"/>
  <c r="L30" i="17" s="1"/>
  <c r="H60" i="19" s="1"/>
  <c r="AK21" i="17"/>
  <c r="L21" i="17" s="1"/>
  <c r="H61" i="19" s="1"/>
  <c r="AK33" i="17"/>
  <c r="L33" i="17" s="1"/>
  <c r="H62" i="19" s="1"/>
  <c r="AQ31" i="17"/>
  <c r="AK36" i="17"/>
  <c r="L36" i="17" s="1"/>
  <c r="H8" i="19" s="1"/>
  <c r="AC16" i="17"/>
  <c r="K16" i="17" s="1"/>
  <c r="G21" i="19" s="1"/>
  <c r="AC60" i="17"/>
  <c r="K60" i="17" s="1"/>
  <c r="G22" i="19" s="1"/>
  <c r="AC59" i="17"/>
  <c r="K59" i="17" s="1"/>
  <c r="G24" i="19" s="1"/>
  <c r="AC7" i="17"/>
  <c r="K7" i="17" s="1"/>
  <c r="G25" i="19" s="1"/>
  <c r="AC28" i="17"/>
  <c r="K28" i="17" s="1"/>
  <c r="G28" i="19" s="1"/>
  <c r="AC36" i="17"/>
  <c r="K36" i="17" s="1"/>
  <c r="G8" i="19" s="1"/>
  <c r="AC57" i="17"/>
  <c r="K57" i="17" s="1"/>
  <c r="G18" i="19" s="1"/>
  <c r="AK16" i="17"/>
  <c r="L16" i="17" s="1"/>
  <c r="H21" i="19" s="1"/>
  <c r="AK60" i="17"/>
  <c r="L60" i="17" s="1"/>
  <c r="H22" i="19" s="1"/>
  <c r="AK59" i="17"/>
  <c r="L59" i="17" s="1"/>
  <c r="H24" i="19" s="1"/>
  <c r="AK7" i="17"/>
  <c r="L7" i="17" s="1"/>
  <c r="H25" i="19" s="1"/>
  <c r="AC53" i="17"/>
  <c r="K53" i="17" s="1"/>
  <c r="G27" i="19" s="1"/>
  <c r="AC35" i="17"/>
  <c r="K35" i="17" s="1"/>
  <c r="G30" i="19" s="1"/>
  <c r="AC31" i="17"/>
  <c r="K31" i="17" s="1"/>
  <c r="G29" i="19" s="1"/>
  <c r="AK9" i="17"/>
  <c r="L9" i="17" s="1"/>
  <c r="H33" i="19" s="1"/>
  <c r="AK41" i="17"/>
  <c r="L41" i="17" s="1"/>
  <c r="H35" i="19" s="1"/>
  <c r="AK61" i="17"/>
  <c r="L61" i="17" s="1"/>
  <c r="H37" i="19" s="1"/>
  <c r="AC23" i="17"/>
  <c r="K23" i="17" s="1"/>
  <c r="G39" i="19" s="1"/>
  <c r="AC62" i="17"/>
  <c r="K62" i="17" s="1"/>
  <c r="G42" i="19" s="1"/>
  <c r="AC17" i="17"/>
  <c r="K17" i="17" s="1"/>
  <c r="G44" i="19" s="1"/>
  <c r="AC6" i="17"/>
  <c r="K6" i="17" s="1"/>
  <c r="G45" i="19" s="1"/>
  <c r="AC47" i="17"/>
  <c r="K47" i="17" s="1"/>
  <c r="G48" i="19" s="1"/>
  <c r="AC49" i="17"/>
  <c r="K49" i="17" s="1"/>
  <c r="G50" i="19" s="1"/>
  <c r="AC24" i="17"/>
  <c r="K24" i="17" s="1"/>
  <c r="G52" i="19" s="1"/>
  <c r="AC25" i="17"/>
  <c r="K25" i="17" s="1"/>
  <c r="G51" i="19" s="1"/>
  <c r="AC48" i="17"/>
  <c r="K48" i="17" s="1"/>
  <c r="G53" i="19" s="1"/>
  <c r="AC42" i="17"/>
  <c r="K42" i="17" s="1"/>
  <c r="G55" i="19" s="1"/>
  <c r="AC30" i="17"/>
  <c r="K30" i="17" s="1"/>
  <c r="G60" i="19" s="1"/>
  <c r="AC21" i="17"/>
  <c r="K21" i="17" s="1"/>
  <c r="G61" i="19" s="1"/>
  <c r="AC33" i="17"/>
  <c r="K33" i="17" s="1"/>
  <c r="G62" i="19" s="1"/>
  <c r="AC37" i="17"/>
  <c r="K37" i="17" s="1"/>
  <c r="G65" i="19" s="1"/>
  <c r="AQ60" i="17"/>
  <c r="AQ59" i="17"/>
  <c r="AQ7" i="17"/>
  <c r="AQ9" i="17"/>
  <c r="AQ61" i="17"/>
  <c r="AQ23" i="17"/>
  <c r="AQ22" i="17"/>
  <c r="AK22" i="17"/>
  <c r="L22" i="17" s="1"/>
  <c r="H9" i="19" s="1"/>
  <c r="AC22" i="17"/>
  <c r="K22" i="17" s="1"/>
  <c r="G9" i="19" s="1"/>
  <c r="AC11" i="17"/>
  <c r="K11" i="17" s="1"/>
  <c r="G4" i="19" s="1"/>
  <c r="AK11" i="17"/>
  <c r="L11" i="17" s="1"/>
  <c r="H4" i="19" s="1"/>
  <c r="K39" i="17" l="1"/>
  <c r="G57" i="19" s="1"/>
</calcChain>
</file>

<file path=xl/sharedStrings.xml><?xml version="1.0" encoding="utf-8"?>
<sst xmlns="http://schemas.openxmlformats.org/spreadsheetml/2006/main" count="1646" uniqueCount="459">
  <si>
    <t>Binary</t>
  </si>
  <si>
    <t>Thalassiosira gravida</t>
  </si>
  <si>
    <t>Chaetoceros atlanticus</t>
  </si>
  <si>
    <r>
      <t>Bacterosira bathyomphala</t>
    </r>
    <r>
      <rPr>
        <sz val="10"/>
        <color theme="1"/>
        <rFont val="Times New Roman"/>
        <family val="1"/>
      </rPr>
      <t>/</t>
    </r>
    <r>
      <rPr>
        <i/>
        <sz val="10"/>
        <color theme="1"/>
        <rFont val="Times New Roman"/>
        <family val="1"/>
      </rPr>
      <t>Melosira arctica </t>
    </r>
  </si>
  <si>
    <t>Chaetoceros atlanticus </t>
  </si>
  <si>
    <t>Corethron criophilum </t>
  </si>
  <si>
    <t>Neodenticula seminae </t>
  </si>
  <si>
    <t>Thalassiosira antarctica </t>
  </si>
  <si>
    <t>Thalassiosira gravida </t>
  </si>
  <si>
    <t>Thalassiotrix longissima </t>
  </si>
  <si>
    <t>Species</t>
  </si>
  <si>
    <t>spp.</t>
  </si>
  <si>
    <t>Thalassiosira</t>
  </si>
  <si>
    <t>Chaetoceros</t>
  </si>
  <si>
    <t>Actinocyclus curvatulus</t>
  </si>
  <si>
    <t>Asteromphalus heptactis</t>
  </si>
  <si>
    <t>Asteromphalus robustus</t>
  </si>
  <si>
    <t>Coscinodiscus marginatus</t>
  </si>
  <si>
    <t>Coscinodiscus oculus iridis</t>
  </si>
  <si>
    <t>Coscinodiscus spp. &lt;20um</t>
  </si>
  <si>
    <t>Podosira elegans</t>
  </si>
  <si>
    <t>Thalassiosira trifulta</t>
  </si>
  <si>
    <t>Nitzchia spp.</t>
  </si>
  <si>
    <t>Spore</t>
  </si>
  <si>
    <t>Tube</t>
  </si>
  <si>
    <t>Star</t>
  </si>
  <si>
    <t>Cloud</t>
  </si>
  <si>
    <t>Needle</t>
  </si>
  <si>
    <t>Ribbon</t>
  </si>
  <si>
    <t>Sticky</t>
  </si>
  <si>
    <t>Robust</t>
  </si>
  <si>
    <t>Solitary</t>
  </si>
  <si>
    <t>Bact_bath</t>
  </si>
  <si>
    <t>Chaet_atlant</t>
  </si>
  <si>
    <t>Core_crio</t>
  </si>
  <si>
    <t>Frag_cylin</t>
  </si>
  <si>
    <t>Neo_sem</t>
  </si>
  <si>
    <t>Rhizo_heb_semi</t>
  </si>
  <si>
    <t>Thala_antarc</t>
  </si>
  <si>
    <t>Thala_grav</t>
  </si>
  <si>
    <t>Thalx_long</t>
  </si>
  <si>
    <t>Emil_hux</t>
  </si>
  <si>
    <t>Actino_curv</t>
  </si>
  <si>
    <t>Astero_hept</t>
  </si>
  <si>
    <t>Astero_robust</t>
  </si>
  <si>
    <t>Coscino_marg</t>
  </si>
  <si>
    <t>Coscino_oculus</t>
  </si>
  <si>
    <t>Coscino_spp20</t>
  </si>
  <si>
    <t>Podo_elegans</t>
  </si>
  <si>
    <t>Thalas_trif</t>
  </si>
  <si>
    <t>Nitz_spp</t>
  </si>
  <si>
    <t>Chains</t>
  </si>
  <si>
    <t xml:space="preserve">Chaetoceros neogracilis </t>
  </si>
  <si>
    <t>Fragilariopsis cylindrus</t>
  </si>
  <si>
    <t>Phaeocystis antarctica</t>
  </si>
  <si>
    <t>Fragilariopsis sp. (&lt; 5 µm)</t>
  </si>
  <si>
    <t>Lennoxia faveolata</t>
  </si>
  <si>
    <t xml:space="preserve">Proboscia inermis </t>
  </si>
  <si>
    <t>Chaetoceros flexuosus</t>
  </si>
  <si>
    <t>Fragilaria islandica</t>
  </si>
  <si>
    <t>Chaet_flex</t>
  </si>
  <si>
    <t>Chaet_grac</t>
  </si>
  <si>
    <t>Prob_inerm</t>
  </si>
  <si>
    <t>Frag_island</t>
  </si>
  <si>
    <t>Phae_antarc</t>
  </si>
  <si>
    <t>Frag_sp5</t>
  </si>
  <si>
    <t>Lennox_fav</t>
  </si>
  <si>
    <t>Chaetoceros peruvianus</t>
  </si>
  <si>
    <t>Dactyliosolen antarcticus</t>
  </si>
  <si>
    <t>Eucampia antarctica</t>
  </si>
  <si>
    <t>Fragilariopsis kerguelensis</t>
  </si>
  <si>
    <t>Fragilariopsis rhombica</t>
  </si>
  <si>
    <t>Nitzschia bicapitata</t>
  </si>
  <si>
    <t>Roperia tesselata</t>
  </si>
  <si>
    <t>Thalassionema nitzschioides</t>
  </si>
  <si>
    <t>Thalassiothrix longissima</t>
  </si>
  <si>
    <t>Chaetoceros debilis</t>
  </si>
  <si>
    <t>Chaetoceros dichaeta</t>
  </si>
  <si>
    <t>Considered robust if 1. morphological description states robust or heavily silicified, or 2. found in fossil record, or 3. found in surface sediments</t>
  </si>
  <si>
    <t>Reference</t>
  </si>
  <si>
    <r>
      <t xml:space="preserve">Fragoso, G. M., Poulton, A. J., Yashayaev, I. M., Head, E. J. H., Johnsen, G., &amp; Purdie, D. A. (2018). Diatom Biogeography From the Labrador Sea Revealed Through a Trait-Based Approach. </t>
    </r>
    <r>
      <rPr>
        <i/>
        <sz val="14"/>
        <color theme="1"/>
        <rFont val="Helvetica Neue"/>
        <family val="2"/>
      </rPr>
      <t>Frontiers in Marine Science, 5</t>
    </r>
    <r>
      <rPr>
        <sz val="14"/>
        <color theme="1"/>
        <rFont val="Helvetica Neue"/>
        <family val="2"/>
      </rPr>
      <t>(297). doi: 10.3389/fmars.2018.00297</t>
    </r>
  </si>
  <si>
    <t>Sp.Abbrev</t>
  </si>
  <si>
    <t>Justification (if=1)</t>
  </si>
  <si>
    <r>
      <t xml:space="preserve">Tomas, C. R. (1997). </t>
    </r>
    <r>
      <rPr>
        <i/>
        <sz val="14"/>
        <color theme="1"/>
        <rFont val="Helvetica Neue"/>
        <family val="2"/>
      </rPr>
      <t>Identifying marine phytoplankton</t>
    </r>
    <r>
      <rPr>
        <sz val="14"/>
        <color theme="1"/>
        <rFont val="Helvetica Neue"/>
        <family val="2"/>
      </rPr>
      <t>: Elsevier.</t>
    </r>
  </si>
  <si>
    <t>Synonym</t>
  </si>
  <si>
    <t>Basionym</t>
  </si>
  <si>
    <t>Chaetoceros gracile </t>
  </si>
  <si>
    <t>Chaetoceros septentrionalis</t>
  </si>
  <si>
    <t>Spore-forming</t>
  </si>
  <si>
    <t>Justification (if applicable)</t>
  </si>
  <si>
    <t>AAD lucidcentral player</t>
  </si>
  <si>
    <t>chain-forming</t>
  </si>
  <si>
    <t>factor</t>
  </si>
  <si>
    <t>chain-type (if applicable)</t>
  </si>
  <si>
    <t>fuzzy code (0=mostly not sticky, 0.5=sometimes sticky, 1=sticky)</t>
  </si>
  <si>
    <t>representative end member</t>
  </si>
  <si>
    <t>F kerg</t>
  </si>
  <si>
    <t>Rhizosolenia inermis</t>
  </si>
  <si>
    <t>Rhizosolenia obtusa; Rhizosolenia inermis f. castracanei; Proboscia alata f. inermis; Proboscia (ex Rhizosolenia) “alata”</t>
  </si>
  <si>
    <t>Spikes</t>
  </si>
  <si>
    <t>Setae</t>
  </si>
  <si>
    <t>stout process</t>
  </si>
  <si>
    <t>chain-length</t>
  </si>
  <si>
    <t>reference</t>
  </si>
  <si>
    <t>Notes</t>
  </si>
  <si>
    <t>‘winter’ and ‘spring’ forms of these diatoms; winter forms have a longer proboscis.</t>
  </si>
  <si>
    <t>Coscinodiscus curvatulus var. subocellatus; Actinocyclus subocellatus</t>
  </si>
  <si>
    <t>2,3</t>
  </si>
  <si>
    <t>sp. found in sediments</t>
  </si>
  <si>
    <t>spores found in sediments</t>
  </si>
  <si>
    <t>*</t>
  </si>
  <si>
    <r>
      <t xml:space="preserve">Rhizosolenia hebetata </t>
    </r>
    <r>
      <rPr>
        <sz val="10"/>
        <color theme="1"/>
        <rFont val="Times New Roman"/>
        <family val="1"/>
      </rPr>
      <t xml:space="preserve">f. </t>
    </r>
    <r>
      <rPr>
        <i/>
        <sz val="10"/>
        <color theme="1"/>
        <rFont val="Times New Roman"/>
        <family val="1"/>
      </rPr>
      <t>semispina</t>
    </r>
  </si>
  <si>
    <t>Rhizosolenia hebetata f. hiemalis</t>
  </si>
  <si>
    <t>*spores</t>
  </si>
  <si>
    <t>Spatangidium heptactis</t>
  </si>
  <si>
    <t>Spatangidium ralfsianum; Asterolampra ralfsiana; Asterolampra areolata</t>
  </si>
  <si>
    <t>Remark</t>
  </si>
  <si>
    <t>based on genus</t>
  </si>
  <si>
    <t>thick-walled; sp. found in sediments</t>
  </si>
  <si>
    <t>3, 4</t>
  </si>
  <si>
    <t>Coscinodiscus radiatus var. oculus-iridis</t>
  </si>
  <si>
    <r>
      <t>Coscinodiscus oculus-iridis </t>
    </r>
    <r>
      <rPr>
        <sz val="12"/>
        <color rgb="FF000000"/>
        <rFont val="Verdana"/>
        <family val="2"/>
      </rPr>
      <t>var. </t>
    </r>
    <r>
      <rPr>
        <i/>
        <sz val="12"/>
        <color rgb="FF000000"/>
        <rFont val="Verdana"/>
        <family val="2"/>
      </rPr>
      <t>genuina; Coscinodiscus oculus-iridis var. typicus</t>
    </r>
  </si>
  <si>
    <t>Willingham, C. R., Rietman, J. D., Heck, R. G., Lettis, W. R., &amp; Keller, M. (2013). Characterization of the Hosgri fault zone and adjacent structures in the offshore Santa Maria Basin, south-central California.</t>
  </si>
  <si>
    <t>Thalassiosira fallax; Thalassiosira antarctica var. borealis</t>
  </si>
  <si>
    <r>
      <t xml:space="preserve">Fryxell, G., Gould Jr, R., &amp; Watkins, T. (1984). Gelatinous colonies of the diatom Thalassiosira in Gulf Stream Warm Core Rings including T. fragilis, sp. nov. </t>
    </r>
    <r>
      <rPr>
        <i/>
        <sz val="14"/>
        <color theme="1"/>
        <rFont val="Helvetica Neue"/>
        <family val="2"/>
      </rPr>
      <t>British Phycological Journal, 19</t>
    </r>
    <r>
      <rPr>
        <sz val="14"/>
        <color theme="1"/>
        <rFont val="Helvetica Neue"/>
        <family val="2"/>
      </rPr>
      <t>(2), 141-156. </t>
    </r>
  </si>
  <si>
    <t>gelatinous colonies</t>
  </si>
  <si>
    <t>Thalassiosira tcherniai</t>
  </si>
  <si>
    <t xml:space="preserve">Rhizosolenia styliformis var. semispina; </t>
  </si>
  <si>
    <t>Rhizosolenia semispina</t>
  </si>
  <si>
    <t>long process</t>
  </si>
  <si>
    <t>Numerous</t>
  </si>
  <si>
    <t>setae</t>
  </si>
  <si>
    <t>Chloroplast obs</t>
  </si>
  <si>
    <t>Rhizosolenia hebetata f. hebetata is now considered to be the probable resting spore of R. hebetata f. semispina (Priddle et al., 1990). It is unlikely that either form exists in the Southern Ocean.</t>
  </si>
  <si>
    <t>closely related to Southern Ocean species T. antarctica</t>
  </si>
  <si>
    <t>Thalassiotrix antarctica</t>
  </si>
  <si>
    <t>Thalx_antarc</t>
  </si>
  <si>
    <t>Synedra thalassiothrix; Synedra tabulata var. thalassiothrix ; Thalassiosira antarctica var. echinata; Thalassiothrix longissima var. antarctica</t>
  </si>
  <si>
    <t>closely related to Southern Ocean species T. longissima</t>
  </si>
  <si>
    <t>Mat</t>
  </si>
  <si>
    <t>considered sticky if 1. possess setae or could incorporate things on way down, 2. TEP producer, 3. stickiness experiment</t>
  </si>
  <si>
    <t>mat formation</t>
  </si>
  <si>
    <t>Frag_kerg</t>
  </si>
  <si>
    <t>Terebraria kerguelensis</t>
  </si>
  <si>
    <t xml:space="preserve">Fragilaria antarctica; Trachysphenia australis; Fragilariopsis antarctica; Nitzschia kerguelensis </t>
  </si>
  <si>
    <t>sp. in traps but not sediments</t>
  </si>
  <si>
    <t>Pseudo_line</t>
  </si>
  <si>
    <t>Pseudonitzschia lineola</t>
  </si>
  <si>
    <t>Nitzschia barkleyi; Pseudonitzschia barkleyi</t>
  </si>
  <si>
    <t>Nitzschia lineola</t>
  </si>
  <si>
    <t>Thalassiosira gracilis</t>
  </si>
  <si>
    <t>Coscinodiscus minimus</t>
  </si>
  <si>
    <t>Coscinodiscus gracilis</t>
  </si>
  <si>
    <t>Thala_grac</t>
  </si>
  <si>
    <t>heavily silicified; sp found in surface sediments</t>
  </si>
  <si>
    <t>2, 8</t>
  </si>
  <si>
    <t>Fragilariopsis pseudonana</t>
  </si>
  <si>
    <t>Frag_pseud</t>
  </si>
  <si>
    <t>Fragilaria nana </t>
  </si>
  <si>
    <t>Nitzschia pseudonana</t>
  </si>
  <si>
    <t xml:space="preserve">8,10 </t>
  </si>
  <si>
    <t>Nav_direc</t>
  </si>
  <si>
    <t>Navicula directa</t>
  </si>
  <si>
    <t>Pinnularia directa</t>
  </si>
  <si>
    <t>bottom dwelling species</t>
  </si>
  <si>
    <t>Thala_lent</t>
  </si>
  <si>
    <t>Thalassiosira lentiginosa</t>
  </si>
  <si>
    <t>Coscinodiscus lentiginosus</t>
  </si>
  <si>
    <t>Chloroplasts small, numerous.</t>
  </si>
  <si>
    <t>Pseudo_heim</t>
  </si>
  <si>
    <t>Pseudonitzschia heimii</t>
  </si>
  <si>
    <t>Nitzschia pacifica; Nitzschia heimii</t>
  </si>
  <si>
    <t>Frag_rhomb</t>
  </si>
  <si>
    <t>Fragilaria rhombica; Nitzschia antarctica; Nitzschia angulata</t>
  </si>
  <si>
    <t>Diatoma rhombicum</t>
  </si>
  <si>
    <t>Fragilariopsis rhombica, F. separanda and Nitzschia barbieri are rather similar in gross morphology</t>
  </si>
  <si>
    <t>sp. in traps but not sediments, high dissolution rate; weakly silicified</t>
  </si>
  <si>
    <t>fuzzy code (0=solitary, 0.5=short (e.g. doublets), 1=long)</t>
  </si>
  <si>
    <t>Azpeitia tabularis</t>
  </si>
  <si>
    <t>Azp_tab</t>
  </si>
  <si>
    <r>
      <t>Coscinodiscus tabularis </t>
    </r>
    <r>
      <rPr>
        <sz val="12"/>
        <color rgb="FF000000"/>
        <rFont val="Verdana"/>
        <family val="2"/>
      </rPr>
      <t>var. </t>
    </r>
    <r>
      <rPr>
        <i/>
        <sz val="12"/>
        <color rgb="FF000000"/>
        <rFont val="Verdana"/>
        <family val="2"/>
      </rPr>
      <t>antarctica</t>
    </r>
  </si>
  <si>
    <t>Coscinodiscus tabularis </t>
  </si>
  <si>
    <t>Thal_olive</t>
  </si>
  <si>
    <t>Thalassiosira oliveriana</t>
  </si>
  <si>
    <t>; Micropodiscus oliveriana; Actinocyclus antarcticus; Actinocyclus umbonatus; Schimperiella antarctica; Schimperiella valdiviae; Actinocyclus antarcticus; Actinocyclus bifrons; Actinocyclus janus; Actinocyclus similis; Actinocyclus valdiviae; Actinocyclus excentricus; Schimperiella oliveriana</t>
  </si>
  <si>
    <t>Actinocyclus oliverianus </t>
  </si>
  <si>
    <t>chain-forming not mentioned, assumed solitary</t>
  </si>
  <si>
    <t xml:space="preserve">Chaetoceros dispar; Chaetoceros polygonum; Chaetoceros audax </t>
  </si>
  <si>
    <t>strong setae with spines</t>
  </si>
  <si>
    <t>Phaeoceros are robust but not found in sediments</t>
  </si>
  <si>
    <t>3; 8</t>
  </si>
  <si>
    <t>strong setae with spines (Phaeoceros); but not found in sediments</t>
  </si>
  <si>
    <t>Thal_nitz</t>
  </si>
  <si>
    <t>Thalassiothrix nitzschioides; Synedra nitzschioides; Thalassiothrix curvata; Thalassiothrix frauenfeldii var. nitzschioides; Thalassionema nitzschioides f. curta</t>
  </si>
  <si>
    <t>Synedra nitzschioides</t>
  </si>
  <si>
    <t>Nitz_bicap</t>
  </si>
  <si>
    <t>Hemidiscus cuneiformis</t>
  </si>
  <si>
    <t>Hem_cune</t>
  </si>
  <si>
    <t>Euodia cuneiformis; Euodia inornata; Euodia radiata</t>
  </si>
  <si>
    <t>assumed solitary; Chloroplasts numerous, small, spherical.</t>
  </si>
  <si>
    <t>Rope_tess</t>
  </si>
  <si>
    <t>Actinocyclus coscinodiscoides</t>
  </si>
  <si>
    <t>assumed solitary; Chloroplasts numerous, small.</t>
  </si>
  <si>
    <t>Thala_line</t>
  </si>
  <si>
    <t>Thalassiosira lineata</t>
  </si>
  <si>
    <t>assumed solitary</t>
  </si>
  <si>
    <t>Thalassiosira eccentrica</t>
  </si>
  <si>
    <t>Coscinodiscus labyrinthus</t>
  </si>
  <si>
    <t>Thala_ecc</t>
  </si>
  <si>
    <r>
      <t>Thalassiosira antiqua </t>
    </r>
    <r>
      <rPr>
        <sz val="12"/>
        <color rgb="FF000000"/>
        <rFont val="Verdana"/>
        <family val="2"/>
      </rPr>
      <t>var. </t>
    </r>
    <r>
      <rPr>
        <i/>
        <sz val="12"/>
        <color rgb="FF000000"/>
        <rFont val="Verdana"/>
        <family val="2"/>
      </rPr>
      <t>septata</t>
    </r>
  </si>
  <si>
    <t>Coscinosira oestrupii </t>
  </si>
  <si>
    <t>Thalassiothrix</t>
  </si>
  <si>
    <t xml:space="preserve">Trichotoxon reinboldii </t>
  </si>
  <si>
    <t>Trich_rein</t>
  </si>
  <si>
    <t>Synedra pelagica</t>
  </si>
  <si>
    <t>Synedra reinboldii </t>
  </si>
  <si>
    <t>resting stage known as R. antennata var. antennata</t>
  </si>
  <si>
    <t>southern ocean homologue sp. found in sediments</t>
  </si>
  <si>
    <t>Rhizo_ant_semi</t>
  </si>
  <si>
    <r>
      <t xml:space="preserve">Rhizosolenia antennata </t>
    </r>
    <r>
      <rPr>
        <sz val="10"/>
        <color theme="1"/>
        <rFont val="Times New Roman"/>
        <family val="1"/>
      </rPr>
      <t xml:space="preserve">f. </t>
    </r>
    <r>
      <rPr>
        <i/>
        <sz val="10"/>
        <color theme="1"/>
        <rFont val="Times New Roman"/>
        <family val="1"/>
      </rPr>
      <t>semispina</t>
    </r>
  </si>
  <si>
    <r>
      <t xml:space="preserve">Rhizosolenia antennata </t>
    </r>
    <r>
      <rPr>
        <sz val="10"/>
        <color rgb="FF000000"/>
        <rFont val="Times New Roman"/>
        <family val="1"/>
      </rPr>
      <t xml:space="preserve">f. </t>
    </r>
    <r>
      <rPr>
        <i/>
        <sz val="10"/>
        <color rgb="FF000000"/>
        <rFont val="Times New Roman"/>
        <family val="1"/>
      </rPr>
      <t>semispina</t>
    </r>
  </si>
  <si>
    <t>Rhizosolenia polydactyla var. polydactyla</t>
  </si>
  <si>
    <t>Rhizosolenia curvata</t>
  </si>
  <si>
    <t>Rhizosolenia crassa:</t>
  </si>
  <si>
    <t>Rhizosolenia sima var. sima</t>
  </si>
  <si>
    <t>Rhizo_poly</t>
  </si>
  <si>
    <t>Rhizo_curv</t>
  </si>
  <si>
    <t>Rhizo_crass</t>
  </si>
  <si>
    <t>Rhizo_sima</t>
  </si>
  <si>
    <t>short process</t>
  </si>
  <si>
    <t>Rhizosolenia curva</t>
  </si>
  <si>
    <t>Rhizosolenia styliformis var. oceanica; Rhizosolenia styliformis auct. Non; Rhizosolenia styliformis var. longispina auct. Non</t>
  </si>
  <si>
    <t>resting spore Rhizosolenia polydactyla f. squamosa</t>
  </si>
  <si>
    <r>
      <t>resting spore Rhizosolenia sima</t>
    </r>
    <r>
      <rPr>
        <sz val="12"/>
        <color rgb="FF000000"/>
        <rFont val="Verdana"/>
        <family val="2"/>
      </rPr>
      <t> f. </t>
    </r>
    <r>
      <rPr>
        <i/>
        <sz val="12"/>
        <color rgb="FF000000"/>
        <rFont val="Verdana"/>
        <family val="2"/>
      </rPr>
      <t>silicea</t>
    </r>
  </si>
  <si>
    <t>Fragilariopsis</t>
  </si>
  <si>
    <t>Psuedonitzchia</t>
  </si>
  <si>
    <t>Paralia</t>
  </si>
  <si>
    <t>sulcata</t>
  </si>
  <si>
    <t>antarctica</t>
  </si>
  <si>
    <t>debilis</t>
  </si>
  <si>
    <t>bulbosum</t>
  </si>
  <si>
    <t>dichaeta</t>
  </si>
  <si>
    <t>Stellarima</t>
  </si>
  <si>
    <t>microtrias</t>
  </si>
  <si>
    <t>obliquecostat</t>
  </si>
  <si>
    <t>sublinearis</t>
  </si>
  <si>
    <t>Eucampia</t>
  </si>
  <si>
    <t>Proboscia</t>
  </si>
  <si>
    <t>tumida</t>
  </si>
  <si>
    <t>spp</t>
  </si>
  <si>
    <t>G</t>
  </si>
  <si>
    <t>I</t>
  </si>
  <si>
    <t>R</t>
  </si>
  <si>
    <t>sp. found in sediments; slow dissolution rate</t>
  </si>
  <si>
    <t>8; 10</t>
  </si>
  <si>
    <t>sp. found in sediments; strongly silicified; slow dissolution rate</t>
  </si>
  <si>
    <t>genus slow dissolution rate</t>
  </si>
  <si>
    <t>sp. found in sediments; intermediate dissolution rate</t>
  </si>
  <si>
    <t>4; 10</t>
  </si>
  <si>
    <t>Fragilariopsis curta</t>
  </si>
  <si>
    <t>Fragilariopsis ritscheri</t>
  </si>
  <si>
    <t>Fragilariopsis seperanda</t>
  </si>
  <si>
    <t>8,9</t>
  </si>
  <si>
    <t>Frag_curta</t>
  </si>
  <si>
    <t>Frag_rits</t>
  </si>
  <si>
    <t>Frag_sep</t>
  </si>
  <si>
    <t>sp. found in sediments; high dissolution rate</t>
  </si>
  <si>
    <t>9;10</t>
  </si>
  <si>
    <t>Fragilariopsis linearis; Nitzschia curta</t>
  </si>
  <si>
    <t>Fragilaria curta</t>
  </si>
  <si>
    <t>Fragilaria nana; Fragilariopsis cylindrus var. planctonica; Fragilariopsis cylindrus f. minor; Fragilariopsis linearis; Nitzschia cylindrus</t>
  </si>
  <si>
    <t>Fragilaria cylindrus </t>
  </si>
  <si>
    <t>Nitzschia ritscheri</t>
  </si>
  <si>
    <t>Nitzschia separanda</t>
  </si>
  <si>
    <t>closely related to F. rhombica</t>
  </si>
  <si>
    <t>Core_penn</t>
  </si>
  <si>
    <t>Corethron pennatum</t>
  </si>
  <si>
    <r>
      <t>Corethron criophilum </t>
    </r>
    <r>
      <rPr>
        <sz val="12"/>
        <color rgb="FF000000"/>
        <rFont val="Verdana"/>
        <family val="2"/>
      </rPr>
      <t>“</t>
    </r>
    <r>
      <rPr>
        <i/>
        <sz val="12"/>
        <color rgb="FF000000"/>
        <rFont val="Verdana"/>
        <family val="2"/>
      </rPr>
      <t>inerme</t>
    </r>
    <r>
      <rPr>
        <sz val="12"/>
        <color rgb="FF000000"/>
        <rFont val="Verdana"/>
        <family val="2"/>
      </rPr>
      <t>” phase</t>
    </r>
  </si>
  <si>
    <t>Core_inerme</t>
  </si>
  <si>
    <t>Corethron inerme</t>
  </si>
  <si>
    <t>barbed and hooked spines</t>
  </si>
  <si>
    <t>Corethron hispidum; Corethron criophilum; Corethron murrayanum; Corethron pelagicum; Corethron valdiviae </t>
  </si>
  <si>
    <t>Actiniscus pennatus </t>
  </si>
  <si>
    <t>long chains</t>
  </si>
  <si>
    <r>
      <t xml:space="preserve">Crawford, R. M., Hinz, F., &amp; Honeywill, C. (1998). Three species of the diatom genus Corethron Castracane: structure, distribution and taxonomy. </t>
    </r>
    <r>
      <rPr>
        <i/>
        <sz val="14"/>
        <color theme="1"/>
        <rFont val="Helvetica Neue"/>
        <family val="2"/>
      </rPr>
      <t>Diatom Research, 13</t>
    </r>
    <r>
      <rPr>
        <sz val="14"/>
        <color theme="1"/>
        <rFont val="Helvetica Neue"/>
        <family val="2"/>
      </rPr>
      <t>(1), 1-28. </t>
    </r>
  </si>
  <si>
    <t>solitary</t>
  </si>
  <si>
    <t>9; 10</t>
  </si>
  <si>
    <t>3;12; 10</t>
  </si>
  <si>
    <t>3; 10</t>
  </si>
  <si>
    <t>found in traps; genus intermediate dissolution rate</t>
  </si>
  <si>
    <t>strongly silicified; found in traps; genus intermediate dissolution rate</t>
  </si>
  <si>
    <t>weakly silicified; genus intermediate dissolution rate</t>
  </si>
  <si>
    <t>Thalassiosira antarctica</t>
  </si>
  <si>
    <t>Euc_antarc</t>
  </si>
  <si>
    <t>Eucampia balaustium</t>
  </si>
  <si>
    <t>Moelleria antarctica</t>
  </si>
  <si>
    <t>heavily silicified "winter" forms</t>
  </si>
  <si>
    <t>flattened horns</t>
  </si>
  <si>
    <t>solitary, doublets or spiralling chains</t>
  </si>
  <si>
    <t>4, 6</t>
  </si>
  <si>
    <t>Dact_antarc</t>
  </si>
  <si>
    <r>
      <t>Dactyliosolen antarcticus </t>
    </r>
    <r>
      <rPr>
        <sz val="12"/>
        <color rgb="FF000000"/>
        <rFont val="Verdana"/>
        <family val="2"/>
      </rPr>
      <t>var. </t>
    </r>
    <r>
      <rPr>
        <i/>
        <sz val="12"/>
        <color rgb="FF000000"/>
        <rFont val="Verdana"/>
        <family val="2"/>
      </rPr>
      <t>typica</t>
    </r>
  </si>
  <si>
    <t>Chloroplasts small, discoid, numerous</t>
  </si>
  <si>
    <t>solitary, doublets</t>
  </si>
  <si>
    <t>genus</t>
  </si>
  <si>
    <t>Mem_chall</t>
  </si>
  <si>
    <t>Membraneis challengeri</t>
  </si>
  <si>
    <t>Tropidoneis antarctica</t>
  </si>
  <si>
    <t>Navicula challengeri </t>
  </si>
  <si>
    <t>Odon_weiss</t>
  </si>
  <si>
    <t>Odontella weissflogii</t>
  </si>
  <si>
    <t>Biddulphia weissflogii</t>
  </si>
  <si>
    <t>weakly silicified</t>
  </si>
  <si>
    <t> Resting spores heavily silicified</t>
  </si>
  <si>
    <t>solitary or short chains</t>
  </si>
  <si>
    <t>Chloroplasts numerous</t>
  </si>
  <si>
    <t>Entry</t>
  </si>
  <si>
    <t>c=1/3 a</t>
  </si>
  <si>
    <t>Janisch, 1874</t>
  </si>
  <si>
    <t>Dimensions from literature</t>
  </si>
  <si>
    <t>Biovolume, area, and surface/volume ratio</t>
  </si>
  <si>
    <t>C biomass</t>
  </si>
  <si>
    <t>References</t>
  </si>
  <si>
    <t>(Brébisson) Ralfs, 1861 </t>
  </si>
  <si>
    <t>Castr.</t>
  </si>
  <si>
    <t>(Gran) Gran, 1900 </t>
  </si>
  <si>
    <t>&gt;40um</t>
  </si>
  <si>
    <t>P.T. Cleve, 1873 </t>
  </si>
  <si>
    <t>c=a</t>
  </si>
  <si>
    <t>Mangin, 1915 </t>
  </si>
  <si>
    <t>same as the small Chaetoceros gracilis</t>
  </si>
  <si>
    <t>VanLand., 1968 </t>
  </si>
  <si>
    <t>&gt;100um</t>
  </si>
  <si>
    <t>c=1/10a</t>
  </si>
  <si>
    <t>Shape code</t>
  </si>
  <si>
    <t>c=1,6a</t>
  </si>
  <si>
    <t>c=b</t>
  </si>
  <si>
    <t>(Hasle) Hasle, 1993 </t>
  </si>
  <si>
    <t>b=1/3a; c=b</t>
  </si>
  <si>
    <t>(W.Smith) Ralfs, 1861 </t>
  </si>
  <si>
    <t>Hustedt, 1952 </t>
  </si>
  <si>
    <t>Manguin, 1957 </t>
  </si>
  <si>
    <t>Rhizosolenia crassa</t>
  </si>
  <si>
    <t>(J.W.Bailey) Mann, 1907 </t>
  </si>
  <si>
    <t>reference sp. Podosira stelligera</t>
  </si>
  <si>
    <t>(F.S.Castracane degli Antelminelli) L.A.Mangin </t>
  </si>
  <si>
    <t>Sundström  </t>
  </si>
  <si>
    <t>J.W. Bailey, 1856 </t>
  </si>
  <si>
    <t>(Grunow) Mereschkowsky, 1902 </t>
  </si>
  <si>
    <t>Comber, 1896 </t>
  </si>
  <si>
    <t>c=1/6a</t>
  </si>
  <si>
    <t>(Ehrenberg) Cleve, 1904 </t>
  </si>
  <si>
    <t>P.T. Cleve, 1896</t>
  </si>
  <si>
    <t>c=1/2a</t>
  </si>
  <si>
    <t>Thalassiosira oestrupii</t>
  </si>
  <si>
    <t>Thala_oest</t>
  </si>
  <si>
    <t>(Van Heurck) Reid &amp; Round </t>
  </si>
  <si>
    <t>a</t>
  </si>
  <si>
    <t>b</t>
  </si>
  <si>
    <t>c</t>
  </si>
  <si>
    <t>a1</t>
  </si>
  <si>
    <t>a2</t>
  </si>
  <si>
    <t>b1</t>
  </si>
  <si>
    <t>b2</t>
  </si>
  <si>
    <r>
      <rPr>
        <b/>
        <sz val="11"/>
        <color rgb="FF0070C0"/>
        <rFont val="Arial"/>
        <family val="2"/>
      </rPr>
      <t>V (µm</t>
    </r>
    <r>
      <rPr>
        <b/>
        <vertAlign val="superscript"/>
        <sz val="11"/>
        <color rgb="FF0070C0"/>
        <rFont val="Arial"/>
        <family val="2"/>
      </rPr>
      <t>3</t>
    </r>
    <r>
      <rPr>
        <b/>
        <sz val="11"/>
        <color rgb="FF0070C0"/>
        <rFont val="Arial"/>
        <family val="2"/>
      </rPr>
      <t>)</t>
    </r>
  </si>
  <si>
    <r>
      <rPr>
        <b/>
        <sz val="11"/>
        <color rgb="FF0070C0"/>
        <rFont val="Arial"/>
        <family val="2"/>
      </rPr>
      <t>A (µm</t>
    </r>
    <r>
      <rPr>
        <b/>
        <vertAlign val="superscript"/>
        <sz val="11"/>
        <color rgb="FF0070C0"/>
        <rFont val="Arial"/>
        <family val="2"/>
      </rPr>
      <t>2</t>
    </r>
    <r>
      <rPr>
        <b/>
        <sz val="11"/>
        <color rgb="FF0070C0"/>
        <rFont val="Arial"/>
        <family val="2"/>
      </rPr>
      <t>)</t>
    </r>
  </si>
  <si>
    <r>
      <rPr>
        <b/>
        <sz val="11"/>
        <color rgb="FF0070C0"/>
        <rFont val="Arial"/>
        <family val="2"/>
      </rPr>
      <t>A/V (µm</t>
    </r>
    <r>
      <rPr>
        <b/>
        <vertAlign val="superscript"/>
        <sz val="11"/>
        <color rgb="FF0070C0"/>
        <rFont val="Arial"/>
        <family val="2"/>
      </rPr>
      <t>-1</t>
    </r>
    <r>
      <rPr>
        <b/>
        <sz val="11"/>
        <color rgb="FF0070C0"/>
        <rFont val="Arial"/>
        <family val="2"/>
      </rPr>
      <t>)</t>
    </r>
  </si>
  <si>
    <r>
      <rPr>
        <b/>
        <sz val="11"/>
        <color rgb="FF0070C0"/>
        <rFont val="Arial"/>
        <family val="2"/>
      </rPr>
      <t>pg C cell</t>
    </r>
    <r>
      <rPr>
        <b/>
        <vertAlign val="superscript"/>
        <sz val="11"/>
        <color rgb="FF0070C0"/>
        <rFont val="Arial"/>
        <family val="2"/>
      </rPr>
      <t>-1</t>
    </r>
  </si>
  <si>
    <t>V (µm3)</t>
  </si>
  <si>
    <t>A (µm2)</t>
  </si>
  <si>
    <t>A/V (µm-1)</t>
  </si>
  <si>
    <r>
      <rPr>
        <b/>
        <sz val="11"/>
        <color rgb="FFC00000"/>
        <rFont val="Arial"/>
        <family val="2"/>
      </rPr>
      <t>V (µm</t>
    </r>
    <r>
      <rPr>
        <b/>
        <vertAlign val="superscript"/>
        <sz val="11"/>
        <color rgb="FFC00000"/>
        <rFont val="Arial"/>
        <family val="2"/>
      </rPr>
      <t>3</t>
    </r>
    <r>
      <rPr>
        <b/>
        <sz val="11"/>
        <color rgb="FFC00000"/>
        <rFont val="Arial"/>
        <family val="2"/>
      </rPr>
      <t>)</t>
    </r>
  </si>
  <si>
    <r>
      <rPr>
        <b/>
        <sz val="11"/>
        <color rgb="FFC00000"/>
        <rFont val="Arial"/>
        <family val="2"/>
      </rPr>
      <t>A (µm</t>
    </r>
    <r>
      <rPr>
        <b/>
        <vertAlign val="superscript"/>
        <sz val="11"/>
        <color rgb="FFC00000"/>
        <rFont val="Arial"/>
        <family val="2"/>
      </rPr>
      <t>2</t>
    </r>
    <r>
      <rPr>
        <b/>
        <sz val="11"/>
        <color rgb="FFC00000"/>
        <rFont val="Arial"/>
        <family val="2"/>
      </rPr>
      <t>)</t>
    </r>
  </si>
  <si>
    <r>
      <rPr>
        <b/>
        <sz val="11"/>
        <color rgb="FFC00000"/>
        <rFont val="Arial"/>
        <family val="2"/>
      </rPr>
      <t>A/V (µm</t>
    </r>
    <r>
      <rPr>
        <b/>
        <vertAlign val="superscript"/>
        <sz val="11"/>
        <color rgb="FFC00000"/>
        <rFont val="Arial"/>
        <family val="2"/>
      </rPr>
      <t>-1</t>
    </r>
    <r>
      <rPr>
        <b/>
        <sz val="11"/>
        <color rgb="FFC00000"/>
        <rFont val="Arial"/>
        <family val="2"/>
      </rPr>
      <t>)</t>
    </r>
  </si>
  <si>
    <r>
      <rPr>
        <b/>
        <sz val="11"/>
        <color rgb="FFC00000"/>
        <rFont val="Arial"/>
        <family val="2"/>
      </rPr>
      <t>pg C cell</t>
    </r>
    <r>
      <rPr>
        <b/>
        <vertAlign val="superscript"/>
        <sz val="11"/>
        <color rgb="FFC00000"/>
        <rFont val="Arial"/>
        <family val="2"/>
      </rPr>
      <t>-1</t>
    </r>
  </si>
  <si>
    <t xml:space="preserve">pg C </t>
  </si>
  <si>
    <r>
      <rPr>
        <b/>
        <sz val="11"/>
        <color rgb="FF00B050"/>
        <rFont val="Arial"/>
        <family val="2"/>
      </rPr>
      <t>pg C cell</t>
    </r>
    <r>
      <rPr>
        <b/>
        <vertAlign val="superscript"/>
        <sz val="11"/>
        <color rgb="FF00B050"/>
        <rFont val="Arial"/>
        <family val="2"/>
      </rPr>
      <t>-1</t>
    </r>
  </si>
  <si>
    <t>Unique_ID</t>
  </si>
  <si>
    <t>Trait lookup</t>
  </si>
  <si>
    <t>spores in sediments</t>
  </si>
  <si>
    <t>NA</t>
  </si>
  <si>
    <t>Fuzzy</t>
  </si>
  <si>
    <t>Factor</t>
  </si>
  <si>
    <t>Chain_shape</t>
  </si>
  <si>
    <t>Chain_length</t>
  </si>
  <si>
    <t>Numeric</t>
  </si>
  <si>
    <t>Shape</t>
  </si>
  <si>
    <t>Size</t>
  </si>
  <si>
    <t>MDL_min</t>
  </si>
  <si>
    <t>MDL_max</t>
  </si>
  <si>
    <t>ESR_min</t>
  </si>
  <si>
    <t>ESR_max</t>
  </si>
  <si>
    <t>𝑟=(3𝑉/4𝜋)^1/3</t>
  </si>
  <si>
    <t>Rhizo_heb_hiem</t>
  </si>
  <si>
    <t>Stel_micro</t>
  </si>
  <si>
    <t>Stellarima microtrias</t>
  </si>
  <si>
    <t>Coscinodiscus symbolophorus; Coscinodiscus adumbratus; Coscinodiscus furcatus; Coscinodiscus pentas; Coscinosira stellaris; Podosira liotardii </t>
  </si>
  <si>
    <t>(Grunow) Jørgensen, 1905 </t>
  </si>
  <si>
    <t>*assumed to be not spore forming based on no mention</t>
  </si>
  <si>
    <t>**assumed weak unless otherwise mentioned</t>
  </si>
  <si>
    <t>**</t>
  </si>
  <si>
    <t>*assumed not sticky unless otherwise stated</t>
  </si>
  <si>
    <t>numeric binary (1=no, 2=yes)</t>
  </si>
  <si>
    <t>fuzzy code (0.1=weak, 0.5=traps only, 1=sediment)</t>
  </si>
  <si>
    <t>SAV_min</t>
  </si>
  <si>
    <t>SAV_max</t>
  </si>
  <si>
    <t>Asteromphalus hyalinus</t>
  </si>
  <si>
    <t>Emiliana huxleyii</t>
  </si>
  <si>
    <t>Haslea trompii</t>
  </si>
  <si>
    <t>Chaet_dich</t>
  </si>
  <si>
    <t>Chaet_peru</t>
  </si>
  <si>
    <t>Chaet_deb</t>
  </si>
  <si>
    <t>Astero_hya</t>
  </si>
  <si>
    <t>Has_trom</t>
  </si>
  <si>
    <t>Chaetoceros distans; Chaetoceros remotus; Chaetoceros janischianum</t>
  </si>
  <si>
    <t>Chloroplasts numerous, small, spherical or discoid, distributed into the setae.</t>
  </si>
  <si>
    <t>Hyalochaetae possess fine setae</t>
  </si>
  <si>
    <t xml:space="preserve">Resting spores in many species of Hyalochaetae </t>
  </si>
  <si>
    <t>setae delicate for this sp. despite being Phaeoceros</t>
  </si>
  <si>
    <t>Phaeceros do not generally form spores</t>
  </si>
  <si>
    <t>Chaetoceros chilensis</t>
  </si>
  <si>
    <t>Chloroplasts small, spherical.</t>
  </si>
  <si>
    <t>Spiral</t>
  </si>
  <si>
    <t>Navicula trompii</t>
  </si>
  <si>
    <t>Chloroplasts 2, plate-like.</t>
  </si>
  <si>
    <t>(Cleve) Simonsen 1974 </t>
  </si>
  <si>
    <t>Resting spores observed for cococoliths</t>
  </si>
  <si>
    <t>Thalassiothrix antarctica</t>
  </si>
  <si>
    <t>Emiliana huxleyi</t>
  </si>
  <si>
    <t>Chaetoceros neogracilis</t>
  </si>
  <si>
    <t>Proboscia inermis</t>
  </si>
  <si>
    <t>Neodenticula seminae</t>
  </si>
  <si>
    <t>Nitzschia spp.</t>
  </si>
  <si>
    <t>sphere</t>
  </si>
  <si>
    <t>cylinder</t>
  </si>
  <si>
    <t>cylinder-dome-end</t>
  </si>
  <si>
    <t>prism-elliptic-base</t>
  </si>
  <si>
    <t>rectangular box</t>
  </si>
  <si>
    <t>prism-parallelogram-base</t>
  </si>
  <si>
    <t>cymbelloid</t>
  </si>
  <si>
    <t>Reference #</t>
  </si>
  <si>
    <t>Citation</t>
  </si>
  <si>
    <t>5,8,9; 11; 10</t>
  </si>
  <si>
    <t>data from Leblanc et al. (2012) Global diatom database</t>
  </si>
  <si>
    <t>Leblanc et al., (2012) Global diatom database</t>
  </si>
  <si>
    <r>
      <t xml:space="preserve">Fragoso, G. M., Poulton, A. J., Yashayaev, I. M., Head, E. J. H., Johnsen, G., &amp; Purdie, D. A. (2018). Diatom Biogeography From the Labrador Sea Revealed Through a Trait-Based Approach. </t>
    </r>
    <r>
      <rPr>
        <i/>
        <sz val="12"/>
        <color theme="1"/>
        <rFont val="Calibri"/>
        <family val="2"/>
        <scheme val="minor"/>
      </rPr>
      <t>Frontiers in Marine Science, 5</t>
    </r>
    <r>
      <rPr>
        <sz val="12"/>
        <color theme="1"/>
        <rFont val="Calibri"/>
        <family val="2"/>
        <scheme val="minor"/>
      </rPr>
      <t>(297). doi: 10.3389/fmars.2018.00297</t>
    </r>
  </si>
  <si>
    <r>
      <t xml:space="preserve">Tomas, C. R. (1997). </t>
    </r>
    <r>
      <rPr>
        <i/>
        <sz val="12"/>
        <color theme="1"/>
        <rFont val="Calibri"/>
        <family val="2"/>
        <scheme val="minor"/>
      </rPr>
      <t>Identifying marine phytoplankton</t>
    </r>
    <r>
      <rPr>
        <sz val="12"/>
        <color theme="1"/>
        <rFont val="Calibri"/>
        <family val="2"/>
        <scheme val="minor"/>
      </rPr>
      <t>: Elsevier.</t>
    </r>
  </si>
  <si>
    <r>
      <t xml:space="preserve">Tsoy, I. B., Obrezkova, M. S., &amp; Artemova, A. V. (2009). Diatoms in surface sediments of the Sea of Okhotsk and the northwest Pacific Ocean. </t>
    </r>
    <r>
      <rPr>
        <i/>
        <sz val="12"/>
        <color theme="1"/>
        <rFont val="Calibri"/>
        <family val="2"/>
        <scheme val="minor"/>
      </rPr>
      <t>Oceanology, 49</t>
    </r>
    <r>
      <rPr>
        <sz val="12"/>
        <color theme="1"/>
        <rFont val="Calibri"/>
        <family val="2"/>
        <scheme val="minor"/>
      </rPr>
      <t>(1), 130-139. </t>
    </r>
  </si>
  <si>
    <r>
      <t xml:space="preserve">Crosta, X., Romero, O., Armand, L. K., &amp; Pichon, J.-J. (2005). The biogeography of major diatom taxa in Southern Ocean sediments: 2. Open ocean related species. </t>
    </r>
    <r>
      <rPr>
        <i/>
        <sz val="12"/>
        <rFont val="Calibri"/>
        <family val="2"/>
        <scheme val="minor"/>
      </rPr>
      <t>Palaeogeography, Palaeoclimatology, Palaeoecology, 223</t>
    </r>
    <r>
      <rPr>
        <sz val="12"/>
        <rFont val="Calibri"/>
        <family val="2"/>
        <scheme val="minor"/>
      </rPr>
      <t>(1-2), 66-92. </t>
    </r>
  </si>
  <si>
    <r>
      <t xml:space="preserve">Blain, S., Rembauville, M., Crispi, O., &amp; Obernosterer, I. (2021). Synchronized autonomous sampling reveals coupled pulses of biomass and export of morphologically different diatoms in the Southern Ocean. </t>
    </r>
    <r>
      <rPr>
        <i/>
        <sz val="12"/>
        <color theme="1"/>
        <rFont val="Calibri"/>
        <family val="2"/>
        <scheme val="minor"/>
      </rPr>
      <t>Limnology and Oceanography, 66</t>
    </r>
    <r>
      <rPr>
        <sz val="12"/>
        <color theme="1"/>
        <rFont val="Calibri"/>
        <family val="2"/>
        <scheme val="minor"/>
      </rPr>
      <t>(3), 753-764. </t>
    </r>
  </si>
  <si>
    <r>
      <t xml:space="preserve">Kemp, A., Pearce, R., Grigorov, I., Rance, J., Lange, C., Quilty, P., &amp; Salter, I. (2006). Production of giant marine diatoms and their export at oceanic frontal zones: Implications for Si and C flux from stratified oceans. </t>
    </r>
    <r>
      <rPr>
        <i/>
        <sz val="12"/>
        <rFont val="Calibri"/>
        <family val="2"/>
        <scheme val="minor"/>
      </rPr>
      <t>Global Biogeochemical Cycles, 20</t>
    </r>
    <r>
      <rPr>
        <sz val="12"/>
        <rFont val="Calibri"/>
        <family val="2"/>
        <scheme val="minor"/>
      </rPr>
      <t>(4). </t>
    </r>
  </si>
  <si>
    <r>
      <t xml:space="preserve">Rigual-Hernández, A. S., Trull, T. W., Bray, S. G., &amp; Armand, L. K. (2016). The fate of diatom valves in the Subantarctic and Polar Frontal Zones of the Southern Ocean: Sediment trap versus surface sediment assemblages. </t>
    </r>
    <r>
      <rPr>
        <i/>
        <sz val="12"/>
        <rFont val="Calibri"/>
        <family val="2"/>
        <scheme val="minor"/>
      </rPr>
      <t>Palaeogeography, Palaeoclimatology, Palaeoecology, 457</t>
    </r>
    <r>
      <rPr>
        <sz val="12"/>
        <rFont val="Calibri"/>
        <family val="2"/>
        <scheme val="minor"/>
      </rPr>
      <t>, 129-143. </t>
    </r>
  </si>
  <si>
    <r>
      <t xml:space="preserve">Grigorov, I., Rigual-Hernandez, A. S., Honjo, S., Kemp, A. E., &amp; Armand, L. K. (2014). Settling fluxes of diatoms to the interior of the Antarctic circumpolar current along 170 W. </t>
    </r>
    <r>
      <rPr>
        <i/>
        <sz val="12"/>
        <rFont val="Calibri"/>
        <family val="2"/>
        <scheme val="minor"/>
      </rPr>
      <t>Deep Sea Research Part I: Oceanographic Research Papers, 93</t>
    </r>
    <r>
      <rPr>
        <sz val="12"/>
        <rFont val="Calibri"/>
        <family val="2"/>
        <scheme val="minor"/>
      </rPr>
      <t>, 1-13. </t>
    </r>
  </si>
  <si>
    <r>
      <t xml:space="preserve">Warnock, J. P., &amp; Scherer, R. P. (2015). Diatom species abundance and morphologically-based dissolution proxies in coastal Southern Ocean assemblages. </t>
    </r>
    <r>
      <rPr>
        <i/>
        <sz val="12"/>
        <color theme="1"/>
        <rFont val="Calibri"/>
        <family val="2"/>
        <scheme val="minor"/>
      </rPr>
      <t>Continental Shelf Research, 102</t>
    </r>
    <r>
      <rPr>
        <sz val="12"/>
        <color theme="1"/>
        <rFont val="Calibri"/>
        <family val="2"/>
        <scheme val="minor"/>
      </rPr>
      <t>, 1-8. </t>
    </r>
  </si>
  <si>
    <r>
      <t xml:space="preserve">Cefarelli, A. O., Ferrario, M. E., Almandoz, G. O., Atencio, A. G., Akselman, R., &amp; Vernet, M. (2010). Diversity of the diatom genus Fragilariopsis in the Argentine Sea and Antarctic waters: morphology, distribution and abundance. </t>
    </r>
    <r>
      <rPr>
        <i/>
        <sz val="12"/>
        <color theme="1"/>
        <rFont val="Calibri"/>
        <family val="2"/>
        <scheme val="minor"/>
      </rPr>
      <t>Polar biology, 33</t>
    </r>
    <r>
      <rPr>
        <sz val="12"/>
        <color theme="1"/>
        <rFont val="Calibri"/>
        <family val="2"/>
        <scheme val="minor"/>
      </rPr>
      <t>(11), 1463-1484. </t>
    </r>
  </si>
  <si>
    <r>
      <t xml:space="preserve">Zúñiga, D., Sanchez-Vidal, A., Flexas, M., Carroll, D., Rufino, M., Spreen, G., . . . Abrantes, F. (2021). Sinking Diatom Assemblages as a Key Driver for Deep Carbon and Silicon Export in the Scotia Sea (Southern Ocean). </t>
    </r>
    <r>
      <rPr>
        <i/>
        <sz val="12"/>
        <color theme="1"/>
        <rFont val="Calibri"/>
        <family val="2"/>
        <scheme val="minor"/>
      </rPr>
      <t>Frontiers in Earth Science, 9</t>
    </r>
    <r>
      <rPr>
        <sz val="12"/>
        <color theme="1"/>
        <rFont val="Calibri"/>
        <family val="2"/>
        <scheme val="minor"/>
      </rPr>
      <t>, 463. </t>
    </r>
  </si>
  <si>
    <r>
      <t xml:space="preserve">Assmy, P., Henjes, J., Smetacek, V., &amp; Montresor, M. (2006). AUXOSPORE FORMATION BY THE SILICA‐SINKING, OCEANIC DIATOM FRAGILARIOPSIS KERGUELENSIS (BACILLARIOPHYCEAE) 1. </t>
    </r>
    <r>
      <rPr>
        <i/>
        <sz val="12"/>
        <color theme="1"/>
        <rFont val="Calibri"/>
        <family val="2"/>
        <scheme val="minor"/>
      </rPr>
      <t>Journal of Phycology, 42</t>
    </r>
    <r>
      <rPr>
        <sz val="12"/>
        <color theme="1"/>
        <rFont val="Calibri"/>
        <family val="2"/>
        <scheme val="minor"/>
      </rPr>
      <t>(5), 1002-1006. </t>
    </r>
  </si>
  <si>
    <r>
      <t xml:space="preserve">Crawford, R. M. (1995). The role of sex in the sedimentation of a marine diatom bloom. </t>
    </r>
    <r>
      <rPr>
        <i/>
        <sz val="12"/>
        <color theme="1"/>
        <rFont val="Calibri"/>
        <family val="2"/>
        <scheme val="minor"/>
      </rPr>
      <t>Limnology and Oceanography, 40</t>
    </r>
    <r>
      <rPr>
        <sz val="12"/>
        <color theme="1"/>
        <rFont val="Calibri"/>
        <family val="2"/>
        <scheme val="minor"/>
      </rPr>
      <t>(1), 200-204. </t>
    </r>
  </si>
  <si>
    <r>
      <t xml:space="preserve">Kiørboe, T., Hansen, J. L., Alldredge, A. L., Jackson, G. A., Passow, U., Dam, H. G., . . . Garcia, C. M. (1996). Sedimentation of phytoplankton during a diatom bloom: rates and mechanisms. </t>
    </r>
    <r>
      <rPr>
        <i/>
        <sz val="12"/>
        <color theme="1"/>
        <rFont val="Calibri"/>
        <family val="2"/>
        <scheme val="minor"/>
      </rPr>
      <t>Journal of Marine Research, 54</t>
    </r>
    <r>
      <rPr>
        <sz val="12"/>
        <color theme="1"/>
        <rFont val="Calibri"/>
        <family val="2"/>
        <scheme val="minor"/>
      </rPr>
      <t>(6), 1123-1148.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</si>
</sst>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40">
    <font>
      <sz val="12"/>
      <color theme="1"/>
      <name val="Calibri"/>
      <family val="2"/>
      <scheme val="minor"/>
    </font>
    <font>
      <b/>
      <sz val="12"/>
      <color theme="1"/>
      <name val="Calibri"/>
      <family val="2"/>
      <scheme val="minor"/>
    </font>
    <font>
      <sz val="10"/>
      <color theme="1"/>
      <name val="Times New Roman"/>
      <family val="1"/>
    </font>
    <font>
      <i/>
      <sz val="10"/>
      <color theme="1"/>
      <name val="Times New Roman"/>
      <family val="1"/>
    </font>
    <font>
      <sz val="12"/>
      <name val="Geneva"/>
      <family val="2"/>
    </font>
    <font>
      <i/>
      <sz val="10"/>
      <color rgb="FF000000"/>
      <name val="Times New Roman"/>
      <family val="1"/>
    </font>
    <font>
      <sz val="12"/>
      <color rgb="FF000000"/>
      <name val="Calibri"/>
      <family val="2"/>
      <scheme val="minor"/>
    </font>
    <font>
      <sz val="10"/>
      <color rgb="FF000000"/>
      <name val="Times New Roman"/>
      <family val="1"/>
    </font>
    <font>
      <sz val="14"/>
      <color rgb="FF000000"/>
      <name val="Helvetica Neue"/>
      <family val="2"/>
    </font>
    <font>
      <sz val="14"/>
      <color theme="1"/>
      <name val="Helvetica Neue"/>
      <family val="2"/>
    </font>
    <font>
      <i/>
      <sz val="14"/>
      <color theme="1"/>
      <name val="Helvetica Neue"/>
      <family val="2"/>
    </font>
    <font>
      <i/>
      <sz val="12"/>
      <color rgb="FF000000"/>
      <name val="Verdana"/>
      <family val="2"/>
    </font>
    <font>
      <sz val="12"/>
      <color rgb="FF000000"/>
      <name val="Verdana"/>
      <family val="2"/>
    </font>
    <font>
      <i/>
      <sz val="12"/>
      <name val="Geneva"/>
      <family val="2"/>
    </font>
    <font>
      <sz val="10"/>
      <color theme="1"/>
      <name val="Times"/>
      <family val="1"/>
    </font>
    <font>
      <b/>
      <sz val="12"/>
      <color theme="0"/>
      <name val="Calibri"/>
      <family val="2"/>
      <scheme val="minor"/>
    </font>
    <font>
      <b/>
      <sz val="11"/>
      <color rgb="FF0070C0"/>
      <name val="Arial"/>
      <family val="2"/>
    </font>
    <font>
      <b/>
      <vertAlign val="superscript"/>
      <sz val="11"/>
      <color rgb="FF0070C0"/>
      <name val="Arial"/>
      <family val="2"/>
    </font>
    <font>
      <b/>
      <sz val="11"/>
      <color rgb="FFC00000"/>
      <name val="Arial"/>
      <family val="2"/>
    </font>
    <font>
      <b/>
      <vertAlign val="superscript"/>
      <sz val="11"/>
      <color rgb="FFC00000"/>
      <name val="Arial"/>
      <family val="2"/>
    </font>
    <font>
      <b/>
      <sz val="11"/>
      <color rgb="FF00B050"/>
      <name val="Arial"/>
      <family val="2"/>
    </font>
    <font>
      <b/>
      <vertAlign val="superscript"/>
      <sz val="11"/>
      <color rgb="FF00B050"/>
      <name val="Arial"/>
      <family val="2"/>
    </font>
    <font>
      <sz val="11"/>
      <color theme="1"/>
      <name val="Arial"/>
      <family val="2"/>
    </font>
    <font>
      <sz val="11"/>
      <name val="Arial"/>
      <family val="2"/>
    </font>
    <font>
      <sz val="11"/>
      <color indexed="8"/>
      <name val="Arial"/>
      <family val="2"/>
    </font>
    <font>
      <b/>
      <sz val="12"/>
      <color indexed="8"/>
      <name val="Arial"/>
      <family val="2"/>
    </font>
    <font>
      <b/>
      <sz val="12"/>
      <color theme="1"/>
      <name val="Arial"/>
      <family val="2"/>
    </font>
    <font>
      <b/>
      <sz val="11"/>
      <name val="Arial"/>
      <family val="2"/>
    </font>
    <font>
      <b/>
      <sz val="11"/>
      <color indexed="8"/>
      <name val="Arial"/>
      <family val="2"/>
    </font>
    <font>
      <sz val="11"/>
      <color indexed="10"/>
      <name val="Arial"/>
      <family val="2"/>
    </font>
    <font>
      <sz val="11"/>
      <color rgb="FF000000"/>
      <name val="Arial"/>
      <family val="2"/>
    </font>
    <font>
      <sz val="11"/>
      <color rgb="FFFF0000"/>
      <name val="Arial"/>
      <family val="2"/>
    </font>
    <font>
      <b/>
      <sz val="11"/>
      <color theme="5" tint="-0.249977111117893"/>
      <name val="Arial"/>
      <family val="2"/>
    </font>
    <font>
      <i/>
      <sz val="12"/>
      <color theme="1"/>
      <name val="Calibri"/>
      <family val="2"/>
      <scheme val="minor"/>
    </font>
    <font>
      <sz val="19"/>
      <color theme="1"/>
      <name val="STIXGeneral-Italic"/>
    </font>
    <font>
      <sz val="10"/>
      <name val="Arial"/>
      <family val="2"/>
    </font>
    <font>
      <sz val="12"/>
      <name val="Arial"/>
      <family val="2"/>
    </font>
    <font>
      <sz val="12"/>
      <color theme="1"/>
      <name val="Calibri"/>
      <family val="2"/>
      <scheme val="minor"/>
    </font>
    <font>
      <sz val="12"/>
      <name val="Calibri"/>
      <family val="2"/>
      <scheme val="minor"/>
    </font>
    <font>
      <i/>
      <sz val="12"/>
      <name val="Calibri"/>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5" tint="0.79998168889431442"/>
        <bgColor indexed="64"/>
      </patternFill>
    </fill>
    <fill>
      <patternFill patternType="solid">
        <fgColor rgb="FFA5A5A5"/>
      </patternFill>
    </fill>
    <fill>
      <patternFill patternType="solid">
        <fgColor rgb="FFFFC000"/>
        <bgColor indexed="64"/>
      </patternFill>
    </fill>
    <fill>
      <patternFill patternType="solid">
        <fgColor theme="5" tint="0.79995117038483843"/>
        <bgColor indexed="64"/>
      </patternFill>
    </fill>
    <fill>
      <patternFill patternType="solid">
        <fgColor theme="0" tint="-0.14996795556505021"/>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rgb="FFF2DCDB"/>
        <bgColor rgb="FF000000"/>
      </patternFill>
    </fill>
  </fills>
  <borders count="10">
    <border>
      <left/>
      <right/>
      <top/>
      <bottom/>
      <diagonal/>
    </border>
    <border>
      <left style="double">
        <color rgb="FF3F3F3F"/>
      </left>
      <right style="double">
        <color rgb="FF3F3F3F"/>
      </right>
      <top style="double">
        <color rgb="FF3F3F3F"/>
      </top>
      <bottom style="double">
        <color rgb="FF3F3F3F"/>
      </bottom>
      <diagonal/>
    </border>
    <border>
      <left style="medium">
        <color auto="1"/>
      </left>
      <right/>
      <top/>
      <bottom/>
      <diagonal/>
    </border>
    <border>
      <left/>
      <right style="medium">
        <color auto="1"/>
      </right>
      <top/>
      <bottom/>
      <diagonal/>
    </border>
    <border>
      <left style="medium">
        <color auto="1"/>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s>
  <cellStyleXfs count="3">
    <xf numFmtId="0" fontId="0" fillId="0" borderId="0"/>
    <xf numFmtId="0" fontId="15" fillId="4" borderId="1" applyNumberFormat="0" applyAlignment="0" applyProtection="0"/>
    <xf numFmtId="0" fontId="35" fillId="0" borderId="0"/>
  </cellStyleXfs>
  <cellXfs count="122">
    <xf numFmtId="0" fontId="0" fillId="0" borderId="0" xfId="0"/>
    <xf numFmtId="0" fontId="2" fillId="0" borderId="0" xfId="0" applyFont="1"/>
    <xf numFmtId="0" fontId="3" fillId="0" borderId="0" xfId="0" applyFont="1"/>
    <xf numFmtId="2" fontId="0" fillId="0" borderId="0" xfId="0" applyNumberFormat="1"/>
    <xf numFmtId="0" fontId="1" fillId="0" borderId="0" xfId="0" applyFont="1"/>
    <xf numFmtId="0" fontId="4" fillId="0" borderId="0" xfId="0" applyFont="1"/>
    <xf numFmtId="0" fontId="5" fillId="0" borderId="0" xfId="0" applyFont="1"/>
    <xf numFmtId="0" fontId="6" fillId="0" borderId="0" xfId="0" applyFont="1"/>
    <xf numFmtId="0" fontId="7" fillId="0" borderId="0" xfId="0" applyFont="1"/>
    <xf numFmtId="0" fontId="3" fillId="2" borderId="0" xfId="0" applyFont="1" applyFill="1"/>
    <xf numFmtId="0" fontId="0" fillId="0" borderId="0" xfId="0" applyAlignment="1">
      <alignment vertical="center"/>
    </xf>
    <xf numFmtId="0" fontId="0" fillId="0" borderId="0" xfId="0" applyAlignment="1">
      <alignment vertical="top"/>
    </xf>
    <xf numFmtId="0" fontId="9" fillId="0" borderId="0" xfId="0" applyFont="1"/>
    <xf numFmtId="0" fontId="11" fillId="0" borderId="0" xfId="0" applyFont="1"/>
    <xf numFmtId="0" fontId="12" fillId="0" borderId="0" xfId="0" applyFont="1"/>
    <xf numFmtId="0" fontId="3" fillId="3" borderId="0" xfId="0" applyFont="1" applyFill="1"/>
    <xf numFmtId="0" fontId="8" fillId="0" borderId="0" xfId="0" applyFont="1"/>
    <xf numFmtId="0" fontId="13" fillId="0" borderId="0" xfId="0" applyFont="1"/>
    <xf numFmtId="0" fontId="14" fillId="0" borderId="0" xfId="0" applyFont="1"/>
    <xf numFmtId="1" fontId="22" fillId="0" borderId="0" xfId="0" applyNumberFormat="1" applyFont="1" applyAlignment="1">
      <alignment horizontal="center"/>
    </xf>
    <xf numFmtId="1" fontId="23" fillId="0" borderId="0" xfId="0" applyNumberFormat="1" applyFont="1" applyAlignment="1">
      <alignment horizontal="center"/>
    </xf>
    <xf numFmtId="2" fontId="23" fillId="0" borderId="0" xfId="0" applyNumberFormat="1" applyFont="1" applyAlignment="1">
      <alignment horizontal="center"/>
    </xf>
    <xf numFmtId="2" fontId="22" fillId="0" borderId="0" xfId="0" applyNumberFormat="1" applyFont="1" applyAlignment="1">
      <alignment horizontal="center"/>
    </xf>
    <xf numFmtId="0" fontId="24" fillId="5" borderId="2" xfId="0" applyFont="1" applyFill="1" applyBorder="1" applyAlignment="1">
      <alignment horizontal="center"/>
    </xf>
    <xf numFmtId="0" fontId="24" fillId="0" borderId="0" xfId="0" applyFont="1" applyAlignment="1">
      <alignment horizontal="center"/>
    </xf>
    <xf numFmtId="0" fontId="23" fillId="6" borderId="0" xfId="0" applyFont="1" applyFill="1" applyAlignment="1">
      <alignment horizontal="center"/>
    </xf>
    <xf numFmtId="0" fontId="24" fillId="0" borderId="2" xfId="0" applyFont="1" applyBorder="1" applyAlignment="1">
      <alignment horizontal="center"/>
    </xf>
    <xf numFmtId="0" fontId="24" fillId="0" borderId="3" xfId="0" applyFont="1" applyBorder="1" applyAlignment="1">
      <alignment horizontal="center"/>
    </xf>
    <xf numFmtId="1" fontId="23" fillId="0" borderId="2" xfId="0" applyNumberFormat="1" applyFont="1" applyBorder="1" applyAlignment="1">
      <alignment horizontal="center"/>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0" fontId="23" fillId="0" borderId="2" xfId="0" applyFont="1" applyBorder="1" applyAlignment="1">
      <alignment horizontal="center"/>
    </xf>
    <xf numFmtId="0" fontId="23" fillId="0" borderId="0" xfId="0" applyFont="1" applyAlignment="1">
      <alignment horizontal="center"/>
    </xf>
    <xf numFmtId="0" fontId="23" fillId="0" borderId="3" xfId="0" applyFont="1" applyBorder="1" applyAlignment="1">
      <alignment horizontal="center"/>
    </xf>
    <xf numFmtId="0" fontId="23" fillId="6" borderId="4" xfId="0" applyFont="1" applyFill="1" applyBorder="1" applyAlignment="1">
      <alignment horizontal="left"/>
    </xf>
    <xf numFmtId="0" fontId="22" fillId="0" borderId="0" xfId="0" applyFont="1" applyAlignment="1">
      <alignment horizontal="center"/>
    </xf>
    <xf numFmtId="1" fontId="26" fillId="8" borderId="7" xfId="0" applyNumberFormat="1" applyFont="1" applyFill="1" applyBorder="1" applyAlignment="1">
      <alignment horizontal="center" vertical="center" wrapText="1"/>
    </xf>
    <xf numFmtId="0" fontId="26" fillId="9" borderId="6" xfId="0" applyFont="1" applyFill="1" applyBorder="1" applyAlignment="1">
      <alignment horizontal="center" vertical="center" wrapText="1"/>
    </xf>
    <xf numFmtId="1" fontId="26" fillId="9" borderId="7" xfId="0" applyNumberFormat="1" applyFont="1" applyFill="1" applyBorder="1" applyAlignment="1">
      <alignment horizontal="center" vertical="center" wrapText="1"/>
    </xf>
    <xf numFmtId="0" fontId="26" fillId="8" borderId="8" xfId="0" applyFont="1" applyFill="1" applyBorder="1" applyAlignment="1">
      <alignment horizontal="center" vertical="center" wrapText="1"/>
    </xf>
    <xf numFmtId="1" fontId="23" fillId="6" borderId="0" xfId="0" applyNumberFormat="1" applyFont="1" applyFill="1" applyAlignment="1">
      <alignment horizontal="center"/>
    </xf>
    <xf numFmtId="1" fontId="24" fillId="0" borderId="0" xfId="0" applyNumberFormat="1" applyFont="1" applyAlignment="1">
      <alignment horizontal="center"/>
    </xf>
    <xf numFmtId="0" fontId="24" fillId="6" borderId="0" xfId="0" applyFont="1" applyFill="1" applyAlignment="1">
      <alignment horizontal="center"/>
    </xf>
    <xf numFmtId="0" fontId="29" fillId="0" borderId="0" xfId="0" applyFont="1" applyAlignment="1">
      <alignment horizontal="center"/>
    </xf>
    <xf numFmtId="0" fontId="23" fillId="0" borderId="4" xfId="0" applyFont="1" applyBorder="1" applyAlignment="1">
      <alignment horizontal="left"/>
    </xf>
    <xf numFmtId="0" fontId="24" fillId="6" borderId="2" xfId="0" applyFont="1" applyFill="1" applyBorder="1" applyAlignment="1">
      <alignment horizontal="center"/>
    </xf>
    <xf numFmtId="0" fontId="29" fillId="6" borderId="0" xfId="0" applyFont="1" applyFill="1" applyAlignment="1">
      <alignment horizontal="center"/>
    </xf>
    <xf numFmtId="0" fontId="30" fillId="0" borderId="2" xfId="0" applyFont="1" applyBorder="1" applyAlignment="1">
      <alignment horizontal="center"/>
    </xf>
    <xf numFmtId="0" fontId="30" fillId="0" borderId="0" xfId="0" applyFont="1" applyAlignment="1">
      <alignment horizontal="center"/>
    </xf>
    <xf numFmtId="0" fontId="31" fillId="0" borderId="0" xfId="0" applyFont="1" applyAlignment="1">
      <alignment horizontal="center"/>
    </xf>
    <xf numFmtId="0" fontId="30" fillId="0" borderId="3" xfId="0" applyFont="1" applyBorder="1" applyAlignment="1">
      <alignment horizontal="center"/>
    </xf>
    <xf numFmtId="2" fontId="30" fillId="0" borderId="0" xfId="0" applyNumberFormat="1" applyFont="1" applyAlignment="1">
      <alignment horizontal="center"/>
    </xf>
    <xf numFmtId="1" fontId="30" fillId="0" borderId="3" xfId="0" applyNumberFormat="1" applyFont="1" applyBorder="1" applyAlignment="1">
      <alignment horizontal="center"/>
    </xf>
    <xf numFmtId="1" fontId="30" fillId="0" borderId="0" xfId="0" applyNumberFormat="1" applyFont="1" applyAlignment="1">
      <alignment horizontal="center"/>
    </xf>
    <xf numFmtId="0" fontId="30" fillId="10" borderId="0" xfId="0" applyFont="1" applyFill="1" applyAlignment="1">
      <alignment horizontal="center"/>
    </xf>
    <xf numFmtId="0" fontId="29" fillId="0" borderId="2" xfId="0" applyFont="1" applyBorder="1" applyAlignment="1">
      <alignment horizontal="center"/>
    </xf>
    <xf numFmtId="0" fontId="31" fillId="6" borderId="0" xfId="0" applyFont="1" applyFill="1" applyAlignment="1">
      <alignment horizontal="center"/>
    </xf>
    <xf numFmtId="49" fontId="23" fillId="0" borderId="0" xfId="0" applyNumberFormat="1" applyFont="1" applyAlignment="1">
      <alignment horizontal="center"/>
    </xf>
    <xf numFmtId="0" fontId="24" fillId="0" borderId="4" xfId="0" applyFont="1" applyBorder="1" applyAlignment="1">
      <alignment horizontal="left"/>
    </xf>
    <xf numFmtId="0" fontId="24" fillId="5" borderId="0" xfId="0" applyFont="1" applyFill="1" applyAlignment="1">
      <alignment horizontal="center"/>
    </xf>
    <xf numFmtId="0" fontId="24" fillId="0" borderId="0" xfId="0" applyFont="1"/>
    <xf numFmtId="2" fontId="24" fillId="0" borderId="0" xfId="0" applyNumberFormat="1" applyFont="1" applyAlignment="1">
      <alignment horizontal="center"/>
    </xf>
    <xf numFmtId="0" fontId="24" fillId="0" borderId="3" xfId="0" applyFont="1" applyBorder="1"/>
    <xf numFmtId="0" fontId="3" fillId="2" borderId="2" xfId="0" applyFont="1" applyFill="1" applyBorder="1"/>
    <xf numFmtId="0" fontId="28" fillId="0" borderId="0" xfId="0" applyFont="1" applyAlignment="1">
      <alignment horizontal="center"/>
    </xf>
    <xf numFmtId="0" fontId="0" fillId="0" borderId="2" xfId="0" applyBorder="1"/>
    <xf numFmtId="0" fontId="16" fillId="7" borderId="2" xfId="1" applyFont="1" applyFill="1" applyBorder="1" applyAlignment="1">
      <alignment horizontal="center" vertical="center"/>
    </xf>
    <xf numFmtId="0" fontId="16" fillId="7" borderId="0" xfId="1" applyFont="1" applyFill="1" applyBorder="1" applyAlignment="1">
      <alignment horizontal="center" vertical="center"/>
    </xf>
    <xf numFmtId="0" fontId="32" fillId="7" borderId="2" xfId="1" applyFont="1" applyFill="1" applyBorder="1" applyAlignment="1">
      <alignment horizontal="center" vertical="center"/>
    </xf>
    <xf numFmtId="0" fontId="32" fillId="7" borderId="0" xfId="1" applyFont="1" applyFill="1" applyBorder="1" applyAlignment="1">
      <alignment horizontal="center" vertical="center"/>
    </xf>
    <xf numFmtId="0" fontId="0" fillId="0" borderId="3" xfId="0" applyBorder="1"/>
    <xf numFmtId="0" fontId="32" fillId="7" borderId="3" xfId="1" applyFont="1" applyFill="1" applyBorder="1" applyAlignment="1">
      <alignment horizontal="center" vertical="center"/>
    </xf>
    <xf numFmtId="1" fontId="23" fillId="0" borderId="3" xfId="0" applyNumberFormat="1" applyFont="1" applyBorder="1" applyAlignment="1">
      <alignment horizontal="center"/>
    </xf>
    <xf numFmtId="1" fontId="16" fillId="4" borderId="2" xfId="1" applyNumberFormat="1" applyFont="1" applyBorder="1" applyAlignment="1">
      <alignment horizontal="center" vertical="center"/>
    </xf>
    <xf numFmtId="1" fontId="16" fillId="4" borderId="0" xfId="1" applyNumberFormat="1" applyFont="1" applyBorder="1" applyAlignment="1">
      <alignment horizontal="center" vertical="center"/>
    </xf>
    <xf numFmtId="2" fontId="16" fillId="4" borderId="0" xfId="1" applyNumberFormat="1" applyFont="1" applyBorder="1" applyAlignment="1">
      <alignment horizontal="center" vertical="center"/>
    </xf>
    <xf numFmtId="2" fontId="22" fillId="0" borderId="3" xfId="0" applyNumberFormat="1" applyFont="1" applyBorder="1" applyAlignment="1">
      <alignment horizontal="center"/>
    </xf>
    <xf numFmtId="1" fontId="16" fillId="4" borderId="3" xfId="1" applyNumberFormat="1" applyFont="1" applyBorder="1" applyAlignment="1">
      <alignment horizontal="center" vertical="center"/>
    </xf>
    <xf numFmtId="164" fontId="16" fillId="9" borderId="0" xfId="1" applyNumberFormat="1" applyFont="1" applyFill="1" applyBorder="1" applyAlignment="1">
      <alignment horizontal="center" vertical="center"/>
    </xf>
    <xf numFmtId="2" fontId="16" fillId="9" borderId="0" xfId="1" applyNumberFormat="1" applyFont="1" applyFill="1" applyBorder="1" applyAlignment="1">
      <alignment horizontal="center" vertical="center"/>
    </xf>
    <xf numFmtId="1" fontId="22" fillId="0" borderId="2" xfId="0" applyNumberFormat="1" applyFont="1" applyBorder="1" applyAlignment="1">
      <alignment horizontal="center"/>
    </xf>
    <xf numFmtId="1" fontId="18" fillId="4" borderId="2" xfId="1" applyNumberFormat="1" applyFont="1" applyBorder="1" applyAlignment="1">
      <alignment horizontal="center" vertical="center"/>
    </xf>
    <xf numFmtId="1" fontId="18" fillId="4" borderId="0" xfId="1" applyNumberFormat="1" applyFont="1" applyBorder="1" applyAlignment="1">
      <alignment horizontal="center" vertical="center"/>
    </xf>
    <xf numFmtId="2" fontId="18" fillId="4" borderId="0" xfId="1" applyNumberFormat="1" applyFont="1" applyBorder="1" applyAlignment="1">
      <alignment horizontal="center" vertical="center"/>
    </xf>
    <xf numFmtId="1" fontId="18" fillId="4" borderId="3" xfId="1" applyNumberFormat="1" applyFont="1" applyBorder="1" applyAlignment="1">
      <alignment horizontal="center" vertical="center"/>
    </xf>
    <xf numFmtId="1" fontId="18" fillId="9" borderId="2" xfId="1" applyNumberFormat="1" applyFont="1" applyFill="1" applyBorder="1" applyAlignment="1">
      <alignment horizontal="center" vertical="center"/>
    </xf>
    <xf numFmtId="1" fontId="18" fillId="9" borderId="0" xfId="1" applyNumberFormat="1" applyFont="1" applyFill="1" applyBorder="1" applyAlignment="1">
      <alignment horizontal="center" vertical="center"/>
    </xf>
    <xf numFmtId="2" fontId="18" fillId="9" borderId="0" xfId="1" applyNumberFormat="1" applyFont="1" applyFill="1" applyBorder="1" applyAlignment="1">
      <alignment horizontal="center" vertical="center"/>
    </xf>
    <xf numFmtId="1" fontId="18" fillId="9" borderId="3" xfId="1" applyNumberFormat="1" applyFont="1" applyFill="1" applyBorder="1" applyAlignment="1">
      <alignment horizontal="center" vertical="center"/>
    </xf>
    <xf numFmtId="0" fontId="0" fillId="0" borderId="4" xfId="0" applyBorder="1"/>
    <xf numFmtId="164" fontId="20" fillId="8" borderId="4" xfId="1" applyNumberFormat="1" applyFont="1" applyFill="1" applyBorder="1" applyAlignment="1">
      <alignment horizontal="center" vertical="center"/>
    </xf>
    <xf numFmtId="1" fontId="30" fillId="0" borderId="4" xfId="0" applyNumberFormat="1" applyFont="1" applyBorder="1" applyAlignment="1">
      <alignment horizontal="center"/>
    </xf>
    <xf numFmtId="0" fontId="23" fillId="0" borderId="4" xfId="0" applyFont="1" applyBorder="1" applyAlignment="1">
      <alignment horizontal="center"/>
    </xf>
    <xf numFmtId="0" fontId="23" fillId="0" borderId="3" xfId="0" applyFont="1" applyBorder="1" applyAlignment="1">
      <alignment horizontal="left"/>
    </xf>
    <xf numFmtId="0" fontId="23" fillId="6" borderId="0" xfId="0" applyFont="1" applyFill="1" applyAlignment="1">
      <alignment horizontal="left"/>
    </xf>
    <xf numFmtId="0" fontId="23" fillId="0" borderId="0" xfId="0" applyFont="1" applyAlignment="1">
      <alignment horizontal="left"/>
    </xf>
    <xf numFmtId="0" fontId="24" fillId="0" borderId="0" xfId="0" applyFont="1" applyAlignment="1">
      <alignment horizontal="left"/>
    </xf>
    <xf numFmtId="0" fontId="22" fillId="0" borderId="4" xfId="0" applyFont="1" applyBorder="1" applyAlignment="1">
      <alignment horizontal="center"/>
    </xf>
    <xf numFmtId="165" fontId="0" fillId="0" borderId="0" xfId="0" applyNumberFormat="1" applyAlignment="1">
      <alignment horizontal="center"/>
    </xf>
    <xf numFmtId="165" fontId="1" fillId="0" borderId="0" xfId="0" applyNumberFormat="1" applyFont="1" applyAlignment="1">
      <alignment horizontal="center"/>
    </xf>
    <xf numFmtId="0" fontId="33" fillId="0" borderId="0" xfId="0" applyFont="1"/>
    <xf numFmtId="0" fontId="22" fillId="7" borderId="0" xfId="0" applyFont="1" applyFill="1" applyAlignment="1">
      <alignment horizontal="center" vertical="center"/>
    </xf>
    <xf numFmtId="0" fontId="22" fillId="0" borderId="0" xfId="0" applyFont="1" applyAlignment="1">
      <alignment vertical="center"/>
    </xf>
    <xf numFmtId="0" fontId="34" fillId="0" borderId="0" xfId="0" applyFont="1"/>
    <xf numFmtId="2" fontId="28" fillId="0" borderId="0" xfId="0" applyNumberFormat="1" applyFont="1" applyAlignment="1">
      <alignment horizontal="center"/>
    </xf>
    <xf numFmtId="1" fontId="24" fillId="6" borderId="0" xfId="0" applyNumberFormat="1" applyFont="1" applyFill="1" applyAlignment="1">
      <alignment horizontal="center"/>
    </xf>
    <xf numFmtId="2" fontId="22" fillId="0" borderId="0" xfId="0" applyNumberFormat="1" applyFont="1" applyAlignment="1">
      <alignment vertical="center"/>
    </xf>
    <xf numFmtId="0" fontId="36" fillId="0" borderId="9" xfId="2" applyFont="1" applyBorder="1" applyAlignment="1">
      <alignment horizontal="center" vertical="center" wrapText="1"/>
    </xf>
    <xf numFmtId="0" fontId="27" fillId="7" borderId="5" xfId="0" applyFont="1" applyFill="1" applyBorder="1" applyAlignment="1">
      <alignment horizontal="center" vertical="center"/>
    </xf>
    <xf numFmtId="0" fontId="27" fillId="7" borderId="6" xfId="0" applyFont="1" applyFill="1" applyBorder="1" applyAlignment="1">
      <alignment horizontal="center" vertical="center"/>
    </xf>
    <xf numFmtId="0" fontId="27" fillId="7" borderId="7" xfId="0" applyFont="1" applyFill="1" applyBorder="1" applyAlignment="1">
      <alignment horizontal="center" vertical="center"/>
    </xf>
    <xf numFmtId="0" fontId="25" fillId="7" borderId="5" xfId="0" applyFont="1" applyFill="1" applyBorder="1" applyAlignment="1">
      <alignment horizontal="center" vertical="center" wrapText="1"/>
    </xf>
    <xf numFmtId="0" fontId="25" fillId="7" borderId="6" xfId="0" applyFont="1" applyFill="1" applyBorder="1" applyAlignment="1">
      <alignment horizontal="center" vertical="center" wrapText="1"/>
    </xf>
    <xf numFmtId="0" fontId="25" fillId="7" borderId="7" xfId="0" applyFont="1" applyFill="1" applyBorder="1" applyAlignment="1">
      <alignment horizontal="center" vertical="center" wrapText="1"/>
    </xf>
    <xf numFmtId="1" fontId="26" fillId="8" borderId="5" xfId="0" applyNumberFormat="1" applyFont="1" applyFill="1" applyBorder="1" applyAlignment="1">
      <alignment horizontal="center" vertical="center" wrapText="1"/>
    </xf>
    <xf numFmtId="1" fontId="26" fillId="8" borderId="6" xfId="0" applyNumberFormat="1" applyFont="1" applyFill="1" applyBorder="1" applyAlignment="1">
      <alignment horizontal="center" vertical="center" wrapText="1"/>
    </xf>
    <xf numFmtId="0" fontId="26" fillId="9" borderId="5" xfId="0" applyFont="1" applyFill="1" applyBorder="1" applyAlignment="1">
      <alignment horizontal="center" vertical="center" wrapText="1"/>
    </xf>
    <xf numFmtId="0" fontId="26" fillId="9" borderId="6" xfId="0" applyFont="1" applyFill="1" applyBorder="1" applyAlignment="1">
      <alignment horizontal="center" vertical="center" wrapText="1"/>
    </xf>
    <xf numFmtId="1" fontId="26" fillId="9" borderId="5" xfId="0" applyNumberFormat="1" applyFont="1" applyFill="1" applyBorder="1" applyAlignment="1">
      <alignment horizontal="center" vertical="center" wrapText="1"/>
    </xf>
    <xf numFmtId="1" fontId="26" fillId="9" borderId="6" xfId="0" applyNumberFormat="1" applyFont="1" applyFill="1" applyBorder="1" applyAlignment="1">
      <alignment horizontal="center" vertical="center" wrapText="1"/>
    </xf>
    <xf numFmtId="0" fontId="0" fillId="0" borderId="0" xfId="0" applyFont="1"/>
    <xf numFmtId="0" fontId="38" fillId="0" borderId="0" xfId="0" applyFont="1"/>
  </cellXfs>
  <cellStyles count="3">
    <cellStyle name="Check Cell" xfId="1" builtinId="23"/>
    <cellStyle name="Normal" xfId="0" builtinId="0"/>
    <cellStyle name="Normal 2" xfId="2" xr:uid="{656861FD-228E-4BA1-933F-DC5BD449682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18</xdr:row>
      <xdr:rowOff>0</xdr:rowOff>
    </xdr:from>
    <xdr:to>
      <xdr:col>14</xdr:col>
      <xdr:colOff>444500</xdr:colOff>
      <xdr:row>32</xdr:row>
      <xdr:rowOff>50800</xdr:rowOff>
    </xdr:to>
    <xdr:pic>
      <xdr:nvPicPr>
        <xdr:cNvPr id="2" name="Picture 1">
          <a:extLst>
            <a:ext uri="{FF2B5EF4-FFF2-40B4-BE49-F238E27FC236}">
              <a16:creationId xmlns:a16="http://schemas.microsoft.com/office/drawing/2014/main" id="{BFC9F426-F3DA-9B40-9ECA-7979A2D81B36}"/>
            </a:ext>
          </a:extLst>
        </xdr:cNvPr>
        <xdr:cNvPicPr>
          <a:picLocks noChangeAspect="1"/>
        </xdr:cNvPicPr>
      </xdr:nvPicPr>
      <xdr:blipFill>
        <a:blip xmlns:r="http://schemas.openxmlformats.org/officeDocument/2006/relationships" r:embed="rId1"/>
        <a:stretch>
          <a:fillRect/>
        </a:stretch>
      </xdr:blipFill>
      <xdr:spPr>
        <a:xfrm>
          <a:off x="8813800" y="3911600"/>
          <a:ext cx="4572000" cy="28956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8EB7C-5F2E-4C8E-BD3B-FDC6FE325C07}">
  <dimension ref="A1:E19"/>
  <sheetViews>
    <sheetView tabSelected="1" workbookViewId="0">
      <selection activeCell="B9" sqref="B9"/>
    </sheetView>
  </sheetViews>
  <sheetFormatPr defaultRowHeight="15.75"/>
  <cols>
    <col min="1" max="1" width="10.625" bestFit="1" customWidth="1"/>
    <col min="2" max="2" width="241" bestFit="1" customWidth="1"/>
  </cols>
  <sheetData>
    <row r="1" spans="1:5">
      <c r="A1" s="120" t="s">
        <v>440</v>
      </c>
      <c r="B1" s="120" t="s">
        <v>441</v>
      </c>
    </row>
    <row r="2" spans="1:5" ht="18">
      <c r="A2" s="120">
        <v>1</v>
      </c>
      <c r="B2" s="120" t="s">
        <v>445</v>
      </c>
      <c r="E2" s="12"/>
    </row>
    <row r="3" spans="1:5" ht="18">
      <c r="A3" s="120">
        <v>2</v>
      </c>
      <c r="B3" s="120" t="s">
        <v>446</v>
      </c>
      <c r="E3" s="12"/>
    </row>
    <row r="4" spans="1:5">
      <c r="A4" s="120">
        <v>3</v>
      </c>
      <c r="B4" s="120" t="s">
        <v>90</v>
      </c>
    </row>
    <row r="5" spans="1:5" ht="18">
      <c r="A5" s="120">
        <v>4</v>
      </c>
      <c r="B5" s="120" t="s">
        <v>447</v>
      </c>
      <c r="E5" s="16"/>
    </row>
    <row r="6" spans="1:5" ht="18">
      <c r="A6" s="120">
        <v>5</v>
      </c>
      <c r="B6" s="121" t="s">
        <v>448</v>
      </c>
      <c r="E6" s="12"/>
    </row>
    <row r="7" spans="1:5" ht="18">
      <c r="A7" s="120">
        <v>6</v>
      </c>
      <c r="B7" s="120" t="s">
        <v>449</v>
      </c>
      <c r="E7" s="12"/>
    </row>
    <row r="8" spans="1:5">
      <c r="A8" s="120">
        <v>7</v>
      </c>
      <c r="B8" s="121" t="s">
        <v>450</v>
      </c>
    </row>
    <row r="9" spans="1:5">
      <c r="A9" s="120">
        <v>8</v>
      </c>
      <c r="B9" s="121" t="s">
        <v>451</v>
      </c>
    </row>
    <row r="10" spans="1:5">
      <c r="A10" s="120">
        <v>9</v>
      </c>
      <c r="B10" s="121" t="s">
        <v>452</v>
      </c>
    </row>
    <row r="11" spans="1:5">
      <c r="A11" s="120">
        <v>10</v>
      </c>
      <c r="B11" s="120" t="s">
        <v>453</v>
      </c>
    </row>
    <row r="12" spans="1:5">
      <c r="A12" s="120">
        <v>11</v>
      </c>
      <c r="B12" s="120" t="s">
        <v>454</v>
      </c>
    </row>
    <row r="13" spans="1:5">
      <c r="A13" s="120">
        <v>12</v>
      </c>
      <c r="B13" s="120" t="s">
        <v>455</v>
      </c>
    </row>
    <row r="14" spans="1:5">
      <c r="A14" s="7">
        <v>13</v>
      </c>
      <c r="B14" s="7" t="s">
        <v>122</v>
      </c>
    </row>
    <row r="15" spans="1:5">
      <c r="A15" s="120">
        <v>14</v>
      </c>
      <c r="B15" s="120" t="s">
        <v>456</v>
      </c>
    </row>
    <row r="16" spans="1:5">
      <c r="A16" s="120">
        <v>15</v>
      </c>
      <c r="B16" s="120" t="s">
        <v>457</v>
      </c>
    </row>
    <row r="17" spans="1:2">
      <c r="A17" s="120">
        <v>16</v>
      </c>
      <c r="B17" s="120" t="s">
        <v>454</v>
      </c>
    </row>
    <row r="18" spans="1:2">
      <c r="A18" s="120">
        <v>17</v>
      </c>
      <c r="B18" s="120" t="s">
        <v>458</v>
      </c>
    </row>
    <row r="19" spans="1:2">
      <c r="A19" s="120">
        <v>18</v>
      </c>
      <c r="B19" s="120" t="s">
        <v>444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81EFC-3DED-FE46-BB91-74845E06C6F8}">
  <dimension ref="A1:Q69"/>
  <sheetViews>
    <sheetView workbookViewId="0">
      <pane ySplit="3" topLeftCell="A4" activePane="bottomLeft" state="frozen"/>
      <selection pane="bottomLeft" activeCell="G15" sqref="G15"/>
    </sheetView>
  </sheetViews>
  <sheetFormatPr defaultColWidth="11" defaultRowHeight="15.75"/>
  <cols>
    <col min="1" max="1" width="14.625" bestFit="1" customWidth="1"/>
    <col min="2" max="2" width="37.625" bestFit="1" customWidth="1"/>
    <col min="9" max="9" width="11" bestFit="1" customWidth="1"/>
    <col min="14" max="14" width="11.875" bestFit="1" customWidth="1"/>
    <col min="15" max="15" width="11.5" bestFit="1" customWidth="1"/>
  </cols>
  <sheetData>
    <row r="1" spans="1:17">
      <c r="B1" s="4" t="s">
        <v>378</v>
      </c>
      <c r="C1" s="4" t="s">
        <v>387</v>
      </c>
    </row>
    <row r="2" spans="1:17">
      <c r="C2" s="100" t="s">
        <v>385</v>
      </c>
      <c r="D2" s="100" t="s">
        <v>385</v>
      </c>
      <c r="E2" s="100" t="s">
        <v>385</v>
      </c>
      <c r="F2" s="100" t="s">
        <v>385</v>
      </c>
      <c r="G2" s="100" t="s">
        <v>385</v>
      </c>
      <c r="H2" s="100" t="s">
        <v>385</v>
      </c>
      <c r="I2" s="100" t="s">
        <v>0</v>
      </c>
      <c r="J2" s="100" t="s">
        <v>0</v>
      </c>
      <c r="K2" s="100" t="s">
        <v>0</v>
      </c>
      <c r="L2" s="100" t="s">
        <v>0</v>
      </c>
      <c r="M2" s="100" t="s">
        <v>381</v>
      </c>
      <c r="N2" s="100" t="s">
        <v>381</v>
      </c>
      <c r="O2" s="100" t="s">
        <v>382</v>
      </c>
      <c r="P2" s="100" t="s">
        <v>382</v>
      </c>
    </row>
    <row r="3" spans="1:17">
      <c r="A3" s="4" t="s">
        <v>81</v>
      </c>
      <c r="B3" s="4" t="s">
        <v>10</v>
      </c>
      <c r="C3" s="4" t="s">
        <v>388</v>
      </c>
      <c r="D3" s="4" t="s">
        <v>389</v>
      </c>
      <c r="E3" s="4" t="s">
        <v>390</v>
      </c>
      <c r="F3" s="64" t="s">
        <v>391</v>
      </c>
      <c r="G3" s="4" t="s">
        <v>404</v>
      </c>
      <c r="H3" s="64" t="s">
        <v>405</v>
      </c>
      <c r="I3" s="4" t="s">
        <v>99</v>
      </c>
      <c r="J3" s="99" t="s">
        <v>23</v>
      </c>
      <c r="K3" s="4" t="s">
        <v>29</v>
      </c>
      <c r="L3" s="4" t="s">
        <v>51</v>
      </c>
      <c r="M3" s="4" t="s">
        <v>30</v>
      </c>
      <c r="N3" s="4" t="s">
        <v>384</v>
      </c>
      <c r="O3" s="4" t="s">
        <v>383</v>
      </c>
      <c r="P3" s="4" t="s">
        <v>386</v>
      </c>
      <c r="Q3" s="4"/>
    </row>
    <row r="4" spans="1:17">
      <c r="A4" t="str">
        <f>Species!A9</f>
        <v>Actino_curv</v>
      </c>
      <c r="B4" t="str">
        <f>Species!B9</f>
        <v>Actinocyclus curvatulus</v>
      </c>
      <c r="C4" s="98">
        <f>_xlfn.IFNA(VLOOKUP(CONCATENATE($A4,"_",$C$1),Size!$B$3:$M$75,6,FALSE),"")</f>
        <v>40</v>
      </c>
      <c r="D4" s="98">
        <f>_xlfn.IFNA(VLOOKUP(CONCATENATE($A4,"_",$C$1),Size!$B$3:$M$75,7,FALSE),"")</f>
        <v>160</v>
      </c>
      <c r="E4" s="98">
        <f>_xlfn.IFNA(VLOOKUP(CONCATENATE($A4,"_",$C$1),Size!$B$3:$M$75,8,FALSE),"")</f>
        <v>15.740609166314428</v>
      </c>
      <c r="F4" s="98">
        <f>_xlfn.IFNA(VLOOKUP(CONCATENATE($A4,"_",$C$1),Size!$B$3:$M$75,9,FALSE),"")</f>
        <v>63.363482106353416</v>
      </c>
      <c r="G4" s="98">
        <f>_xlfn.IFNA(VLOOKUP(CONCATENATE($A4,"_",$C$1),Size!$B$3:$M$75,10,FALSE),"")</f>
        <v>0.25384615384615383</v>
      </c>
      <c r="H4" s="98">
        <f>_xlfn.IFNA(VLOOKUP(CONCATENATE($A4,"_",$C$1),Size!$B$3:$M$75,11,FALSE),"")</f>
        <v>6.2735849056603774E-2</v>
      </c>
      <c r="I4" s="98">
        <f>_xlfn.IFNA(VLOOKUP(CONCATENATE($A4,"_",I$3),Spikes!$A$4:$D$75,4,FALSE),"")</f>
        <v>1</v>
      </c>
      <c r="J4" s="98">
        <f>_xlfn.IFNA(VLOOKUP(CONCATENATE($A4,"_",J$3),Spore_forming!$A$4:$D$75,4,FALSE),"")</f>
        <v>1</v>
      </c>
      <c r="K4" s="98">
        <f>_xlfn.IFNA(VLOOKUP(CONCATENATE($A4,"_",$K$3),Stickiness!$A$3:$D$75,4,FALSE),"")</f>
        <v>0</v>
      </c>
      <c r="L4" s="98">
        <f>_xlfn.IFNA(VLOOKUP(CONCATENATE($A4,"_",$L$3),Chain_forming!$A$3:$D$70,4,FALSE),"")</f>
        <v>1</v>
      </c>
      <c r="M4" s="98">
        <f>_xlfn.IFNA(VLOOKUP(CONCATENATE($A4,"_",M$3),Robust!$A$3:$D$70,4,FALSE),"")</f>
        <v>1</v>
      </c>
      <c r="N4" s="98">
        <f>_xlfn.IFNA(VLOOKUP(CONCATENATE($A4,"_",SpeciesTraits!L$3),Chain_forming!$A$3:$H$70,8,FALSE),"")</f>
        <v>0</v>
      </c>
      <c r="O4" s="98" t="str">
        <f>_xlfn.IFNA(VLOOKUP(CONCATENATE($A4,"_",SpeciesTraits!$L$3),Chain_forming!$A$3:$H$70,6,FALSE),"")</f>
        <v>Solitary</v>
      </c>
      <c r="P4" s="98" t="str">
        <f>_xlfn.IFNA(VLOOKUP(CONCATENATE($A4,"_",$C$1),Size!$B$3:$F$69,5,FALSE),"")</f>
        <v>cylinder</v>
      </c>
    </row>
    <row r="5" spans="1:17">
      <c r="A5" t="str">
        <f>Species!A10</f>
        <v>Astero_hept</v>
      </c>
      <c r="B5" t="str">
        <f>Species!B10</f>
        <v>Asteromphalus heptactis</v>
      </c>
      <c r="C5" s="98">
        <f>_xlfn.IFNA(VLOOKUP(CONCATENATE($A5,"_",$C$1),Size!$B$3:$M$75,6,FALSE),"")</f>
        <v>42</v>
      </c>
      <c r="D5" s="98">
        <f>_xlfn.IFNA(VLOOKUP(CONCATENATE($A5,"_",$C$1),Size!$B$3:$M$75,7,FALSE),"")</f>
        <v>175</v>
      </c>
      <c r="E5" s="98">
        <f>_xlfn.IFNA(VLOOKUP(CONCATENATE($A5,"_",$C$1),Size!$B$3:$M$75,8,FALSE),"")</f>
        <v>16.667711045666092</v>
      </c>
      <c r="F5" s="98">
        <f>_xlfn.IFNA(VLOOKUP(CONCATENATE($A5,"_",$C$1),Size!$B$3:$M$75,9,FALSE),"")</f>
        <v>69.316259831230624</v>
      </c>
      <c r="G5" s="98">
        <f>_xlfn.IFNA(VLOOKUP(CONCATENATE($A5,"_",$C$1),Size!$B$3:$M$75,10,FALSE),"")</f>
        <v>0.23809523809523811</v>
      </c>
      <c r="H5" s="98">
        <f>_xlfn.IFNA(VLOOKUP(CONCATENATE($A5,"_",$C$1),Size!$B$3:$M$75,11,FALSE),"")</f>
        <v>5.7339901477832508E-2</v>
      </c>
      <c r="I5" s="98">
        <f>_xlfn.IFNA(VLOOKUP(CONCATENATE($A5,"_",I$3),Spikes!$A$4:$D$75,4,FALSE),"")</f>
        <v>1</v>
      </c>
      <c r="J5" s="98">
        <f>_xlfn.IFNA(VLOOKUP(CONCATENATE($A5,"_",J$3),Spore_forming!$A$4:$D$75,4,FALSE),"")</f>
        <v>1</v>
      </c>
      <c r="K5" s="98">
        <f>_xlfn.IFNA(VLOOKUP(CONCATENATE($A5,"_",$K$3),Stickiness!$A$3:$D$75,4,FALSE),"")</f>
        <v>0</v>
      </c>
      <c r="L5" s="98">
        <f>_xlfn.IFNA(VLOOKUP(CONCATENATE($A5,"_",$L$3),Chain_forming!$A$3:$D$70,4,FALSE),"")</f>
        <v>1</v>
      </c>
      <c r="M5" s="98">
        <f>_xlfn.IFNA(VLOOKUP(CONCATENATE($A5,"_",M$3),Robust!$A$3:$D$70,4,FALSE),"")</f>
        <v>1</v>
      </c>
      <c r="N5" s="98">
        <f>_xlfn.IFNA(VLOOKUP(CONCATENATE($A5,"_",SpeciesTraits!L$3),Chain_forming!$A$3:$H$70,8,FALSE),"")</f>
        <v>0</v>
      </c>
      <c r="O5" s="98" t="str">
        <f>_xlfn.IFNA(VLOOKUP(CONCATENATE($A5,"_",SpeciesTraits!$L$3),Chain_forming!$A$3:$H$70,6,FALSE),"")</f>
        <v>Solitary</v>
      </c>
      <c r="P5" s="98" t="str">
        <f>_xlfn.IFNA(VLOOKUP(CONCATENATE($A5,"_",$C$1),Size!$B$3:$F$69,5,FALSE),"")</f>
        <v>cylinder</v>
      </c>
    </row>
    <row r="6" spans="1:17">
      <c r="A6" t="str">
        <f>Species!A65</f>
        <v>Astero_hya</v>
      </c>
      <c r="B6" t="str">
        <f>Species!B65</f>
        <v>Asteromphalus hyalinus</v>
      </c>
      <c r="C6" s="98">
        <f>_xlfn.IFNA(VLOOKUP(CONCATENATE($A6,"_",$C$1),Size!$B$3:$M$75,6,FALSE),"")</f>
        <v>15</v>
      </c>
      <c r="D6" s="98">
        <f>_xlfn.IFNA(VLOOKUP(CONCATENATE($A6,"_",$C$1),Size!$B$3:$M$75,7,FALSE),"")</f>
        <v>32</v>
      </c>
      <c r="E6" s="98">
        <f>_xlfn.IFNA(VLOOKUP(CONCATENATE($A6,"_",$C$1),Size!$B$3:$M$75,8,FALSE),"")</f>
        <v>5.9527539448807474</v>
      </c>
      <c r="F6" s="98">
        <f>_xlfn.IFNA(VLOOKUP(CONCATENATE($A6,"_",$C$1),Size!$B$3:$M$75,9,FALSE),"")</f>
        <v>12.699208415745604</v>
      </c>
      <c r="G6" s="98">
        <f>_xlfn.IFNA(VLOOKUP(CONCATENATE($A6,"_",$C$1),Size!$B$3:$M$75,10,FALSE),"")</f>
        <v>0.66666666666666674</v>
      </c>
      <c r="H6" s="98">
        <f>_xlfn.IFNA(VLOOKUP(CONCATENATE($A6,"_",$C$1),Size!$B$3:$M$75,11,FALSE),"")</f>
        <v>0.31249999999999939</v>
      </c>
      <c r="I6" s="98">
        <f>_xlfn.IFNA(VLOOKUP(CONCATENATE($A6,"_",I$3),Spikes!$A$4:$D$75,4,FALSE),"")</f>
        <v>1</v>
      </c>
      <c r="J6" s="98">
        <f>_xlfn.IFNA(VLOOKUP(CONCATENATE($A6,"_",J$3),Spore_forming!$A$4:$D$75,4,FALSE),"")</f>
        <v>1</v>
      </c>
      <c r="K6" s="98">
        <f>_xlfn.IFNA(VLOOKUP(CONCATENATE($A6,"_",$K$3),Stickiness!$A$3:$D$75,4,FALSE),"")</f>
        <v>0</v>
      </c>
      <c r="L6" s="98">
        <f>_xlfn.IFNA(VLOOKUP(CONCATENATE($A6,"_",$L$3),Chain_forming!$A$3:$D$70,4,FALSE),"")</f>
        <v>1</v>
      </c>
      <c r="M6" s="98">
        <f>_xlfn.IFNA(VLOOKUP(CONCATENATE($A6,"_",M$3),Robust!$A$3:$D$70,4,FALSE),"")</f>
        <v>1</v>
      </c>
      <c r="N6" s="98">
        <f>_xlfn.IFNA(VLOOKUP(CONCATENATE($A6,"_",SpeciesTraits!L$3),Chain_forming!$A$3:$H$70,8,FALSE),"")</f>
        <v>0</v>
      </c>
      <c r="O6" s="98" t="str">
        <f>_xlfn.IFNA(VLOOKUP(CONCATENATE($A6,"_",SpeciesTraits!$L$3),Chain_forming!$A$3:$H$70,6,FALSE),"")</f>
        <v>Solitary</v>
      </c>
      <c r="P6" s="98" t="str">
        <f>_xlfn.IFNA(VLOOKUP(CONCATENATE($A6,"_",$C$1),Size!$B$3:$F$69,5,FALSE),"")</f>
        <v>cylinder</v>
      </c>
    </row>
    <row r="7" spans="1:17">
      <c r="A7" t="str">
        <f>Species!A11</f>
        <v>Astero_robust</v>
      </c>
      <c r="B7" t="str">
        <f>Species!B11</f>
        <v>Asteromphalus robustus</v>
      </c>
      <c r="C7" s="98">
        <f>_xlfn.IFNA(VLOOKUP(CONCATENATE($A7,"_",$C$1),Size!$B$3:$M$75,6,FALSE),"")</f>
        <v>25</v>
      </c>
      <c r="D7" s="98">
        <f>_xlfn.IFNA(VLOOKUP(CONCATENATE($A7,"_",$C$1),Size!$B$3:$M$75,7,FALSE),"")</f>
        <v>50</v>
      </c>
      <c r="E7" s="98">
        <f>_xlfn.IFNA(VLOOKUP(CONCATENATE($A7,"_",$C$1),Size!$B$3:$M$75,8,FALSE),"")</f>
        <v>9.7871691029221584</v>
      </c>
      <c r="F7" s="98">
        <f>_xlfn.IFNA(VLOOKUP(CONCATENATE($A7,"_",$C$1),Size!$B$3:$M$75,9,FALSE),"")</f>
        <v>19.973924351135036</v>
      </c>
      <c r="G7" s="98">
        <f>_xlfn.IFNA(VLOOKUP(CONCATENATE($A7,"_",$C$1),Size!$B$3:$M$75,10,FALSE),"")</f>
        <v>0.41000000000000003</v>
      </c>
      <c r="H7" s="98">
        <f>_xlfn.IFNA(VLOOKUP(CONCATENATE($A7,"_",$C$1),Size!$B$3:$M$75,11,FALSE),"")</f>
        <v>0.19764705882352943</v>
      </c>
      <c r="I7" s="98">
        <f>_xlfn.IFNA(VLOOKUP(CONCATENATE($A7,"_",I$3),Spikes!$A$4:$D$75,4,FALSE),"")</f>
        <v>1</v>
      </c>
      <c r="J7" s="98">
        <f>_xlfn.IFNA(VLOOKUP(CONCATENATE($A7,"_",J$3),Spore_forming!$A$4:$D$75,4,FALSE),"")</f>
        <v>1</v>
      </c>
      <c r="K7" s="98">
        <f>_xlfn.IFNA(VLOOKUP(CONCATENATE($A7,"_",$K$3),Stickiness!$A$3:$D$75,4,FALSE),"")</f>
        <v>0</v>
      </c>
      <c r="L7" s="98">
        <f>_xlfn.IFNA(VLOOKUP(CONCATENATE($A7,"_",$L$3),Chain_forming!$A$3:$D$70,4,FALSE),"")</f>
        <v>1</v>
      </c>
      <c r="M7" s="98">
        <f>_xlfn.IFNA(VLOOKUP(CONCATENATE($A7,"_",M$3),Robust!$A$3:$D$70,4,FALSE),"")</f>
        <v>1</v>
      </c>
      <c r="N7" s="98">
        <f>_xlfn.IFNA(VLOOKUP(CONCATENATE($A7,"_",SpeciesTraits!L$3),Chain_forming!$A$3:$H$70,8,FALSE),"")</f>
        <v>0</v>
      </c>
      <c r="O7" s="98" t="str">
        <f>_xlfn.IFNA(VLOOKUP(CONCATENATE($A7,"_",SpeciesTraits!$L$3),Chain_forming!$A$3:$H$70,6,FALSE),"")</f>
        <v>Solitary</v>
      </c>
      <c r="P7" s="98" t="str">
        <f>_xlfn.IFNA(VLOOKUP(CONCATENATE($A7,"_",$C$1),Size!$B$3:$F$69,5,FALSE),"")</f>
        <v>cylinder</v>
      </c>
    </row>
    <row r="8" spans="1:17">
      <c r="A8" t="str">
        <f>Species!A34</f>
        <v>Azp_tab</v>
      </c>
      <c r="B8" t="str">
        <f>Species!B34</f>
        <v>Azpeitia tabularis</v>
      </c>
      <c r="C8" s="98">
        <f>_xlfn.IFNA(VLOOKUP(CONCATENATE($A8,"_",$C$1),Size!$B$3:$M$75,6,FALSE),"")</f>
        <v>40</v>
      </c>
      <c r="D8" s="98">
        <f>_xlfn.IFNA(VLOOKUP(CONCATENATE($A8,"_",$C$1),Size!$B$3:$M$75,7,FALSE),"")</f>
        <v>70</v>
      </c>
      <c r="E8" s="98">
        <f>_xlfn.IFNA(VLOOKUP(CONCATENATE($A8,"_",$C$1),Size!$B$3:$M$75,8,FALSE),"")</f>
        <v>12.805791649874939</v>
      </c>
      <c r="F8" s="98">
        <f>_xlfn.IFNA(VLOOKUP(CONCATENATE($A8,"_",$C$1),Size!$B$3:$M$75,9,FALSE),"")</f>
        <v>18.596524960695689</v>
      </c>
      <c r="G8" s="98">
        <f>_xlfn.IFNA(VLOOKUP(CONCATENATE($A8,"_",$C$1),Size!$B$3:$M$75,10,FALSE),"")</f>
        <v>0.38571428571428568</v>
      </c>
      <c r="H8" s="98">
        <f>_xlfn.IFNA(VLOOKUP(CONCATENATE($A8,"_",$C$1),Size!$B$3:$M$75,11,FALSE),"")</f>
        <v>0.34285714285714286</v>
      </c>
      <c r="I8" s="98">
        <f>_xlfn.IFNA(VLOOKUP(CONCATENATE($A8,"_",I$3),Spikes!$A$4:$D$75,4,FALSE),"")</f>
        <v>1</v>
      </c>
      <c r="J8" s="98">
        <f>_xlfn.IFNA(VLOOKUP(CONCATENATE($A8,"_",J$3),Spore_forming!$A$4:$D$75,4,FALSE),"")</f>
        <v>1</v>
      </c>
      <c r="K8" s="98">
        <f>_xlfn.IFNA(VLOOKUP(CONCATENATE($A8,"_",$K$3),Stickiness!$A$3:$D$75,4,FALSE),"")</f>
        <v>0</v>
      </c>
      <c r="L8" s="98">
        <f>_xlfn.IFNA(VLOOKUP(CONCATENATE($A8,"_",$L$3),Chain_forming!$A$3:$D$70,4,FALSE),"")</f>
        <v>1</v>
      </c>
      <c r="M8" s="98">
        <f>_xlfn.IFNA(VLOOKUP(CONCATENATE($A8,"_",M$3),Robust!$A$3:$D$70,4,FALSE),"")</f>
        <v>1</v>
      </c>
      <c r="N8" s="98">
        <f>_xlfn.IFNA(VLOOKUP(CONCATENATE($A8,"_",SpeciesTraits!L$3),Chain_forming!$A$3:$H$70,8,FALSE),"")</f>
        <v>0</v>
      </c>
      <c r="O8" s="98" t="str">
        <f>_xlfn.IFNA(VLOOKUP(CONCATENATE($A8,"_",SpeciesTraits!$L$3),Chain_forming!$A$3:$H$70,6,FALSE),"")</f>
        <v>Solitary</v>
      </c>
      <c r="P8" s="98" t="str">
        <f>_xlfn.IFNA(VLOOKUP(CONCATENATE($A8,"_",$C$1),Size!$B$3:$F$69,5,FALSE),"")</f>
        <v>cylinder</v>
      </c>
    </row>
    <row r="9" spans="1:17">
      <c r="A9" t="str">
        <f>Species!A20</f>
        <v>Bact_bath</v>
      </c>
      <c r="B9" t="str">
        <f>Species!B20</f>
        <v>Bacterosira bathyomphala/Melosira arctica </v>
      </c>
      <c r="C9" s="98">
        <f>_xlfn.IFNA(VLOOKUP(CONCATENATE($A9,"_",$C$1),Size!$B$3:$M$75,6,FALSE),"")</f>
        <v>25</v>
      </c>
      <c r="D9" s="98">
        <f>_xlfn.IFNA(VLOOKUP(CONCATENATE($A9,"_",$C$1),Size!$B$3:$M$75,7,FALSE),"")</f>
        <v>25</v>
      </c>
      <c r="E9" s="98">
        <f>_xlfn.IFNA(VLOOKUP(CONCATENATE($A9,"_",$C$1),Size!$B$3:$M$75,8,FALSE),"")</f>
        <v>11.494641485903296</v>
      </c>
      <c r="F9" s="98">
        <f>_xlfn.IFNA(VLOOKUP(CONCATENATE($A9,"_",$C$1),Size!$B$3:$M$75,9,FALSE),"")</f>
        <v>13.924766500838336</v>
      </c>
      <c r="G9" s="98">
        <f>_xlfn.IFNA(VLOOKUP(CONCATENATE($A9,"_",$C$1),Size!$B$3:$M$75,10,FALSE),"")</f>
        <v>0.30222222222222223</v>
      </c>
      <c r="H9" s="98">
        <f>_xlfn.IFNA(VLOOKUP(CONCATENATE($A9,"_",$C$1),Size!$B$3:$M$75,11,FALSE),"")</f>
        <v>0.24666666666666667</v>
      </c>
      <c r="I9" s="98">
        <f>_xlfn.IFNA(VLOOKUP(CONCATENATE($A9,"_",I$3),Spikes!$A$4:$D$75,4,FALSE),"")</f>
        <v>1</v>
      </c>
      <c r="J9" s="98">
        <f>_xlfn.IFNA(VLOOKUP(CONCATENATE($A9,"_",J$3),Spore_forming!$A$4:$D$75,4,FALSE),"")</f>
        <v>1</v>
      </c>
      <c r="K9" s="98">
        <f>_xlfn.IFNA(VLOOKUP(CONCATENATE($A9,"_",$K$3),Stickiness!$A$3:$D$75,4,FALSE),"")</f>
        <v>0</v>
      </c>
      <c r="L9" s="98" t="str">
        <f>_xlfn.IFNA(VLOOKUP(CONCATENATE($A9,"_",$L$3),Chain_forming!$A$3:$D$70,4,FALSE),"")</f>
        <v>NA</v>
      </c>
      <c r="M9" s="98">
        <f>_xlfn.IFNA(VLOOKUP(CONCATENATE($A9,"_",M$3),Robust!$A$3:$D$70,4,FALSE),"")</f>
        <v>1</v>
      </c>
      <c r="N9" s="98" t="str">
        <f>_xlfn.IFNA(VLOOKUP(CONCATENATE($A9,"_",SpeciesTraits!L$3),Chain_forming!$A$3:$H$70,8,FALSE),"")</f>
        <v>NA</v>
      </c>
      <c r="O9" s="98" t="str">
        <f>_xlfn.IFNA(VLOOKUP(CONCATENATE($A9,"_",SpeciesTraits!$L$3),Chain_forming!$A$3:$H$70,6,FALSE),"")</f>
        <v>NA</v>
      </c>
      <c r="P9" s="98" t="str">
        <f>_xlfn.IFNA(VLOOKUP(CONCATENATE($A9,"_",$C$1),Size!$B$3:$F$69,5,FALSE),"")</f>
        <v>cylinder</v>
      </c>
    </row>
    <row r="10" spans="1:17">
      <c r="A10" t="str">
        <f>Species!A36</f>
        <v>Chaet_atlant</v>
      </c>
      <c r="B10" t="str">
        <f>Species!B36</f>
        <v>Chaetoceros atlanticus</v>
      </c>
      <c r="C10" s="98">
        <f>_xlfn.IFNA(VLOOKUP(CONCATENATE($A10,"_",$C$1),Size!$B$3:$M$75,6,FALSE),"")</f>
        <v>19</v>
      </c>
      <c r="D10" s="98">
        <f>_xlfn.IFNA(VLOOKUP(CONCATENATE($A10,"_",$C$1),Size!$B$3:$M$75,7,FALSE),"")</f>
        <v>40</v>
      </c>
      <c r="E10" s="98">
        <f>_xlfn.IFNA(VLOOKUP(CONCATENATE($A10,"_",$C$1),Size!$B$3:$M$75,8,FALSE),"")</f>
        <v>8.623345618417245</v>
      </c>
      <c r="F10" s="98">
        <f>_xlfn.IFNA(VLOOKUP(CONCATENATE($A10,"_",$C$1),Size!$B$3:$M$75,9,FALSE),"")</f>
        <v>16.115056064834498</v>
      </c>
      <c r="G10" s="98">
        <f>_xlfn.IFNA(VLOOKUP(CONCATENATE($A10,"_",$C$1),Size!$B$3:$M$75,10,FALSE),"")</f>
        <v>0.41637426900584795</v>
      </c>
      <c r="H10" s="98">
        <f>_xlfn.IFNA(VLOOKUP(CONCATENATE($A10,"_",$C$1),Size!$B$3:$M$75,11,FALSE),"")</f>
        <v>0.22562724014336918</v>
      </c>
      <c r="I10" s="98">
        <f>_xlfn.IFNA(VLOOKUP(CONCATENATE($A10,"_",I$3),Spikes!$A$4:$D$75,4,FALSE),"")</f>
        <v>2</v>
      </c>
      <c r="J10" s="98">
        <f>_xlfn.IFNA(VLOOKUP(CONCATENATE($A10,"_",J$3),Spore_forming!$A$4:$D$75,4,FALSE),"")</f>
        <v>1</v>
      </c>
      <c r="K10" s="98">
        <f>_xlfn.IFNA(VLOOKUP(CONCATENATE($A10,"_",$K$3),Stickiness!$A$3:$D$75,4,FALSE),"")</f>
        <v>1</v>
      </c>
      <c r="L10" s="98">
        <f>_xlfn.IFNA(VLOOKUP(CONCATENATE($A10,"_",$L$3),Chain_forming!$A$3:$D$70,4,FALSE),"")</f>
        <v>2</v>
      </c>
      <c r="M10" s="98">
        <f>_xlfn.IFNA(VLOOKUP(CONCATENATE($A10,"_",M$3),Robust!$A$3:$D$70,4,FALSE),"")</f>
        <v>0.5</v>
      </c>
      <c r="N10" s="98">
        <f>_xlfn.IFNA(VLOOKUP(CONCATENATE($A10,"_",SpeciesTraits!L$3),Chain_forming!$A$3:$H$70,8,FALSE),"")</f>
        <v>1</v>
      </c>
      <c r="O10" s="98" t="str">
        <f>_xlfn.IFNA(VLOOKUP(CONCATENATE($A10,"_",SpeciesTraits!$L$3),Chain_forming!$A$3:$H$70,6,FALSE),"")</f>
        <v>Tube</v>
      </c>
      <c r="P10" s="98" t="str">
        <f>_xlfn.IFNA(VLOOKUP(CONCATENATE($A10,"_",$C$1),Size!$B$3:$F$69,5,FALSE),"")</f>
        <v>prism-elliptic-base</v>
      </c>
    </row>
    <row r="11" spans="1:17">
      <c r="A11" t="str">
        <f>Species!A64</f>
        <v>Chaet_deb</v>
      </c>
      <c r="B11" t="str">
        <f>Species!B64</f>
        <v>Chaetoceros debilis</v>
      </c>
      <c r="C11" s="98">
        <f>_xlfn.IFNA(VLOOKUP(CONCATENATE($A11,"_",$C$1),Size!$B$3:$M$75,6,FALSE),"")</f>
        <v>8</v>
      </c>
      <c r="D11" s="98">
        <f>_xlfn.IFNA(VLOOKUP(CONCATENATE($A11,"_",$C$1),Size!$B$3:$M$75,7,FALSE),"")</f>
        <v>40</v>
      </c>
      <c r="E11" s="98">
        <f>_xlfn.IFNA(VLOOKUP(CONCATENATE($A11,"_",$C$1),Size!$B$3:$M$75,8,FALSE),"")</f>
        <v>3.5568933044900626</v>
      </c>
      <c r="F11" s="98">
        <f>_xlfn.IFNA(VLOOKUP(CONCATENATE($A11,"_",$C$1),Size!$B$3:$M$75,9,FALSE),"")</f>
        <v>15.536162529769292</v>
      </c>
      <c r="G11" s="98">
        <f>_xlfn.IFNA(VLOOKUP(CONCATENATE($A11,"_",$C$1),Size!$B$3:$M$75,10,FALSE),"")</f>
        <v>0.98333333333333339</v>
      </c>
      <c r="H11" s="98">
        <f>_xlfn.IFNA(VLOOKUP(CONCATENATE($A11,"_",$C$1),Size!$B$3:$M$75,11,FALSE),"")</f>
        <v>0.23</v>
      </c>
      <c r="I11" s="98">
        <f>_xlfn.IFNA(VLOOKUP(CONCATENATE($A11,"_",I$3),Spikes!$A$4:$D$75,4,FALSE),"")</f>
        <v>2</v>
      </c>
      <c r="J11" s="98">
        <f>_xlfn.IFNA(VLOOKUP(CONCATENATE($A11,"_",J$3),Spore_forming!$A$4:$D$75,4,FALSE),"")</f>
        <v>2</v>
      </c>
      <c r="K11" s="98">
        <f>_xlfn.IFNA(VLOOKUP(CONCATENATE($A11,"_",$K$3),Stickiness!$A$3:$D$75,4,FALSE),"")</f>
        <v>1</v>
      </c>
      <c r="L11" s="98">
        <f>_xlfn.IFNA(VLOOKUP(CONCATENATE($A11,"_",$L$3),Chain_forming!$A$3:$D$70,4,FALSE),"")</f>
        <v>2</v>
      </c>
      <c r="M11" s="98">
        <f>_xlfn.IFNA(VLOOKUP(CONCATENATE($A11,"_",M$3),Robust!$A$3:$D$70,4,FALSE),"")</f>
        <v>0.1</v>
      </c>
      <c r="N11" s="98">
        <f>_xlfn.IFNA(VLOOKUP(CONCATENATE($A11,"_",SpeciesTraits!L$3),Chain_forming!$A$3:$H$70,8,FALSE),"")</f>
        <v>1</v>
      </c>
      <c r="O11" s="98" t="str">
        <f>_xlfn.IFNA(VLOOKUP(CONCATENATE($A11,"_",SpeciesTraits!$L$3),Chain_forming!$A$3:$H$70,6,FALSE),"")</f>
        <v>Spiral</v>
      </c>
      <c r="P11" s="98" t="str">
        <f>_xlfn.IFNA(VLOOKUP(CONCATENATE($A11,"_",$C$1),Size!$B$3:$F$69,5,FALSE),"")</f>
        <v>prism-elliptic-base</v>
      </c>
    </row>
    <row r="12" spans="1:17">
      <c r="A12" t="str">
        <f>Species!A62</f>
        <v>Chaet_dich</v>
      </c>
      <c r="B12" t="str">
        <f>Species!B62</f>
        <v>Chaetoceros dichaeta</v>
      </c>
      <c r="C12" s="98">
        <f>_xlfn.IFNA(VLOOKUP(CONCATENATE($A12,"_",$C$1),Size!$B$3:$M$75,6,FALSE),"")</f>
        <v>14</v>
      </c>
      <c r="D12" s="98">
        <f>_xlfn.IFNA(VLOOKUP(CONCATENATE($A12,"_",$C$1),Size!$B$3:$M$75,7,FALSE),"")</f>
        <v>45</v>
      </c>
      <c r="E12" s="98">
        <f>_xlfn.IFNA(VLOOKUP(CONCATENATE($A12,"_",$C$1),Size!$B$3:$M$75,8,FALSE),"")</f>
        <v>4.5123119628625421</v>
      </c>
      <c r="F12" s="98">
        <f>_xlfn.IFNA(VLOOKUP(CONCATENATE($A12,"_",$C$1),Size!$B$3:$M$75,9,FALSE),"")</f>
        <v>17.284430287666307</v>
      </c>
      <c r="G12" s="98">
        <f>_xlfn.IFNA(VLOOKUP(CONCATENATE($A12,"_",$C$1),Size!$B$3:$M$75,10,FALSE),"")</f>
        <v>0.82857142857142851</v>
      </c>
      <c r="H12" s="98">
        <f>_xlfn.IFNA(VLOOKUP(CONCATENATE($A12,"_",$C$1),Size!$B$3:$M$75,11,FALSE),"")</f>
        <v>0.21437908496732025</v>
      </c>
      <c r="I12" s="98">
        <f>_xlfn.IFNA(VLOOKUP(CONCATENATE($A12,"_",I$3),Spikes!$A$4:$D$75,4,FALSE),"")</f>
        <v>2</v>
      </c>
      <c r="J12" s="98">
        <f>_xlfn.IFNA(VLOOKUP(CONCATENATE($A12,"_",J$3),Spore_forming!$A$4:$D$75,4,FALSE),"")</f>
        <v>1</v>
      </c>
      <c r="K12" s="98">
        <f>_xlfn.IFNA(VLOOKUP(CONCATENATE($A12,"_",$K$3),Stickiness!$A$3:$D$75,4,FALSE),"")</f>
        <v>1</v>
      </c>
      <c r="L12" s="98">
        <f>_xlfn.IFNA(VLOOKUP(CONCATENATE($A12,"_",$L$3),Chain_forming!$A$3:$D$70,4,FALSE),"")</f>
        <v>2</v>
      </c>
      <c r="M12" s="98">
        <f>_xlfn.IFNA(VLOOKUP(CONCATENATE($A12,"_",M$3),Robust!$A$3:$D$70,4,FALSE),"")</f>
        <v>0.5</v>
      </c>
      <c r="N12" s="98">
        <f>_xlfn.IFNA(VLOOKUP(CONCATENATE($A12,"_",SpeciesTraits!L$3),Chain_forming!$A$3:$H$70,8,FALSE),"")</f>
        <v>1</v>
      </c>
      <c r="O12" s="98" t="str">
        <f>_xlfn.IFNA(VLOOKUP(CONCATENATE($A12,"_",SpeciesTraits!$L$3),Chain_forming!$A$3:$H$70,6,FALSE),"")</f>
        <v>Tube</v>
      </c>
      <c r="P12" s="98" t="str">
        <f>_xlfn.IFNA(VLOOKUP(CONCATENATE($A12,"_",$C$1),Size!$B$3:$F$69,5,FALSE),"")</f>
        <v>prism-elliptic-base</v>
      </c>
    </row>
    <row r="13" spans="1:17">
      <c r="A13" t="str">
        <f>Species!A2</f>
        <v>Chaet_flex</v>
      </c>
      <c r="B13" t="str">
        <f>Species!B2</f>
        <v>Chaetoceros flexuosus</v>
      </c>
      <c r="C13" s="98">
        <f>_xlfn.IFNA(VLOOKUP(CONCATENATE($A13,"_",$C$1),Size!$B$3:$M$75,6,FALSE),"")</f>
        <v>9.4494078742115502</v>
      </c>
      <c r="D13" s="98">
        <f>_xlfn.IFNA(VLOOKUP(CONCATENATE($A13,"_",$C$1),Size!$B$3:$M$75,7,FALSE),"")</f>
        <v>9.4494078742115502</v>
      </c>
      <c r="E13" s="98">
        <f>_xlfn.IFNA(VLOOKUP(CONCATENATE($A13,"_",$C$1),Size!$B$3:$M$75,8,FALSE),"")</f>
        <v>5.1512140914899938</v>
      </c>
      <c r="F13" s="98">
        <f>_xlfn.IFNA(VLOOKUP(CONCATENATE($A13,"_",$C$1),Size!$B$3:$M$75,9,FALSE),"")</f>
        <v>9.4494078742115502</v>
      </c>
      <c r="G13" s="98">
        <f>_xlfn.IFNA(VLOOKUP(CONCATENATE($A13,"_",$C$1),Size!$B$3:$M$75,10,FALSE),"")</f>
        <v>0.66666666666666674</v>
      </c>
      <c r="H13" s="98">
        <f>_xlfn.IFNA(VLOOKUP(CONCATENATE($A13,"_",$C$1),Size!$B$3:$M$75,11,FALSE),"")</f>
        <v>0.3666666666666667</v>
      </c>
      <c r="I13" s="98">
        <f>_xlfn.IFNA(VLOOKUP(CONCATENATE($A13,"_",I$3),Spikes!$A$4:$D$75,4,FALSE),"")</f>
        <v>2</v>
      </c>
      <c r="J13" s="98">
        <f>_xlfn.IFNA(VLOOKUP(CONCATENATE($A13,"_",J$3),Spore_forming!$A$4:$D$75,4,FALSE),"")</f>
        <v>2</v>
      </c>
      <c r="K13" s="98">
        <f>_xlfn.IFNA(VLOOKUP(CONCATENATE($A13,"_",$K$3),Stickiness!$A$3:$D$75,4,FALSE),"")</f>
        <v>1</v>
      </c>
      <c r="L13" s="98">
        <f>_xlfn.IFNA(VLOOKUP(CONCATENATE($A13,"_",$L$3),Chain_forming!$A$3:$D$70,4,FALSE),"")</f>
        <v>2</v>
      </c>
      <c r="M13" s="98">
        <f>_xlfn.IFNA(VLOOKUP(CONCATENATE($A13,"_",M$3),Robust!$A$3:$D$70,4,FALSE),"")</f>
        <v>0.1</v>
      </c>
      <c r="N13" s="98">
        <f>_xlfn.IFNA(VLOOKUP(CONCATENATE($A13,"_",SpeciesTraits!L$3),Chain_forming!$A$3:$H$70,8,FALSE),"")</f>
        <v>1</v>
      </c>
      <c r="O13" s="98" t="str">
        <f>_xlfn.IFNA(VLOOKUP(CONCATENATE($A13,"_",SpeciesTraits!$L$3),Chain_forming!$A$3:$H$70,6,FALSE),"")</f>
        <v>Tube</v>
      </c>
      <c r="P13" s="98" t="str">
        <f>_xlfn.IFNA(VLOOKUP(CONCATENATE($A13,"_",$C$1),Size!$B$3:$F$69,5,FALSE),"")</f>
        <v>prism-elliptic-base</v>
      </c>
    </row>
    <row r="14" spans="1:17">
      <c r="A14" t="str">
        <f>Species!A3</f>
        <v>Chaet_grac</v>
      </c>
      <c r="B14" t="str">
        <f>Species!B3</f>
        <v>Chaetoceros neogracilis</v>
      </c>
      <c r="C14" s="98">
        <f>_xlfn.IFNA(VLOOKUP(CONCATENATE($A14,"_",$C$1),Size!$B$3:$M$75,6,FALSE),"")</f>
        <v>10</v>
      </c>
      <c r="D14" s="98">
        <f>_xlfn.IFNA(VLOOKUP(CONCATENATE($A14,"_",$C$1),Size!$B$3:$M$75,7,FALSE),"")</f>
        <v>30</v>
      </c>
      <c r="E14" s="98">
        <f>_xlfn.IFNA(VLOOKUP(CONCATENATE($A14,"_",$C$1),Size!$B$3:$M$75,8,FALSE),"")</f>
        <v>4.0716264248923597</v>
      </c>
      <c r="F14" s="98">
        <f>_xlfn.IFNA(VLOOKUP(CONCATENATE($A14,"_",$C$1),Size!$B$3:$M$75,9,FALSE),"")</f>
        <v>10.041494251232542</v>
      </c>
      <c r="G14" s="98">
        <f>_xlfn.IFNA(VLOOKUP(CONCATENATE($A14,"_",$C$1),Size!$B$3:$M$75,10,FALSE),"")</f>
        <v>0.92222222222222228</v>
      </c>
      <c r="H14" s="98">
        <f>_xlfn.IFNA(VLOOKUP(CONCATENATE($A14,"_",$C$1),Size!$B$3:$M$75,11,FALSE),"")</f>
        <v>0.37777777777777777</v>
      </c>
      <c r="I14" s="98">
        <f>_xlfn.IFNA(VLOOKUP(CONCATENATE($A14,"_",I$3),Spikes!$A$4:$D$75,4,FALSE),"")</f>
        <v>2</v>
      </c>
      <c r="J14" s="98">
        <f>_xlfn.IFNA(VLOOKUP(CONCATENATE($A14,"_",J$3),Spore_forming!$A$4:$D$75,4,FALSE),"")</f>
        <v>1</v>
      </c>
      <c r="K14" s="98">
        <f>_xlfn.IFNA(VLOOKUP(CONCATENATE($A14,"_",$K$3),Stickiness!$A$3:$D$75,4,FALSE),"")</f>
        <v>1</v>
      </c>
      <c r="L14" s="98">
        <f>_xlfn.IFNA(VLOOKUP(CONCATENATE($A14,"_",$L$3),Chain_forming!$A$3:$D$70,4,FALSE),"")</f>
        <v>1</v>
      </c>
      <c r="M14" s="98">
        <f>_xlfn.IFNA(VLOOKUP(CONCATENATE($A14,"_",M$3),Robust!$A$3:$D$70,4,FALSE),"")</f>
        <v>0.1</v>
      </c>
      <c r="N14" s="98">
        <f>_xlfn.IFNA(VLOOKUP(CONCATENATE($A14,"_",SpeciesTraits!L$3),Chain_forming!$A$3:$H$70,8,FALSE),"")</f>
        <v>0</v>
      </c>
      <c r="O14" s="98" t="str">
        <f>_xlfn.IFNA(VLOOKUP(CONCATENATE($A14,"_",SpeciesTraits!$L$3),Chain_forming!$A$3:$H$70,6,FALSE),"")</f>
        <v>Solitary</v>
      </c>
      <c r="P14" s="98" t="str">
        <f>_xlfn.IFNA(VLOOKUP(CONCATENATE($A14,"_",$C$1),Size!$B$3:$F$69,5,FALSE),"")</f>
        <v>prism-elliptic-base</v>
      </c>
    </row>
    <row r="15" spans="1:17">
      <c r="A15" t="str">
        <f>Species!A63</f>
        <v>Chaet_peru</v>
      </c>
      <c r="B15" t="str">
        <f>Species!B63</f>
        <v>Chaetoceros peruvianus</v>
      </c>
      <c r="C15" s="98">
        <f>_xlfn.IFNA(VLOOKUP(CONCATENATE($A15,"_",$C$1),Size!$B$3:$M$75,6,FALSE),"")</f>
        <v>30</v>
      </c>
      <c r="D15" s="98">
        <f>_xlfn.IFNA(VLOOKUP(CONCATENATE($A15,"_",$C$1),Size!$B$3:$M$75,7,FALSE),"")</f>
        <v>32</v>
      </c>
      <c r="E15" s="98">
        <f>_xlfn.IFNA(VLOOKUP(CONCATENATE($A15,"_",$C$1),Size!$B$3:$M$75,8,FALSE),"")</f>
        <v>7.1506462649580751</v>
      </c>
      <c r="F15" s="98">
        <f>_xlfn.IFNA(VLOOKUP(CONCATENATE($A15,"_",$C$1),Size!$B$3:$M$75,9,FALSE),"")</f>
        <v>15.577482305553305</v>
      </c>
      <c r="G15" s="98">
        <f>_xlfn.IFNA(VLOOKUP(CONCATENATE($A15,"_",$C$1),Size!$B$3:$M$75,10,FALSE),"")</f>
        <v>0.57435897435897432</v>
      </c>
      <c r="H15" s="98">
        <f>_xlfn.IFNA(VLOOKUP(CONCATENATE($A15,"_",$C$1),Size!$B$3:$M$75,11,FALSE),"")</f>
        <v>0.22440476190476191</v>
      </c>
      <c r="I15" s="98">
        <f>_xlfn.IFNA(VLOOKUP(CONCATENATE($A15,"_",I$3),Spikes!$A$4:$D$75,4,FALSE),"")</f>
        <v>2</v>
      </c>
      <c r="J15" s="98">
        <f>_xlfn.IFNA(VLOOKUP(CONCATENATE($A15,"_",J$3),Spore_forming!$A$4:$D$75,4,FALSE),"")</f>
        <v>1</v>
      </c>
      <c r="K15" s="98">
        <f>_xlfn.IFNA(VLOOKUP(CONCATENATE($A15,"_",$K$3),Stickiness!$A$3:$D$75,4,FALSE),"")</f>
        <v>1</v>
      </c>
      <c r="L15" s="98">
        <f>_xlfn.IFNA(VLOOKUP(CONCATENATE($A15,"_",$L$3),Chain_forming!$A$3:$D$70,4,FALSE),"")</f>
        <v>2</v>
      </c>
      <c r="M15" s="98">
        <f>_xlfn.IFNA(VLOOKUP(CONCATENATE($A15,"_",M$3),Robust!$A$3:$D$70,4,FALSE),"")</f>
        <v>0.5</v>
      </c>
      <c r="N15" s="98">
        <f>_xlfn.IFNA(VLOOKUP(CONCATENATE($A15,"_",SpeciesTraits!L$3),Chain_forming!$A$3:$H$70,8,FALSE),"")</f>
        <v>0.5</v>
      </c>
      <c r="O15" s="98" t="str">
        <f>_xlfn.IFNA(VLOOKUP(CONCATENATE($A15,"_",SpeciesTraits!$L$3),Chain_forming!$A$3:$H$70,6,FALSE),"")</f>
        <v>Tube</v>
      </c>
      <c r="P15" s="98" t="str">
        <f>_xlfn.IFNA(VLOOKUP(CONCATENATE($A15,"_",$C$1),Size!$B$3:$F$69,5,FALSE),"")</f>
        <v>prism-elliptic-base</v>
      </c>
    </row>
    <row r="16" spans="1:17">
      <c r="A16" t="str">
        <f>Species!A54</f>
        <v>Core_crio</v>
      </c>
      <c r="B16" t="str">
        <f>Species!B54</f>
        <v>Corethron criophilum </v>
      </c>
      <c r="C16" s="98">
        <f>_xlfn.IFNA(VLOOKUP(CONCATENATE($A16,"_",$C$1),Size!$B$3:$M$75,6,FALSE),"")</f>
        <v>20</v>
      </c>
      <c r="D16" s="98">
        <f>_xlfn.IFNA(VLOOKUP(CONCATENATE($A16,"_",$C$1),Size!$B$3:$M$75,7,FALSE),"")</f>
        <v>200</v>
      </c>
      <c r="E16" s="98">
        <f>_xlfn.IFNA(VLOOKUP(CONCATENATE($A16,"_",$C$1),Size!$B$3:$M$75,8,FALSE),"")</f>
        <v>4.4129354191575789</v>
      </c>
      <c r="F16" s="98">
        <f>_xlfn.IFNA(VLOOKUP(CONCATENATE($A16,"_",$C$1),Size!$B$3:$M$75,9,FALSE),"")</f>
        <v>24.384994805366563</v>
      </c>
      <c r="G16" s="98">
        <f>_xlfn.IFNA(VLOOKUP(CONCATENATE($A16,"_",$C$1),Size!$B$3:$M$75,10,FALSE),"")</f>
        <v>0.8727272727272728</v>
      </c>
      <c r="H16" s="98">
        <f>_xlfn.IFNA(VLOOKUP(CONCATENATE($A16,"_",$C$1),Size!$B$3:$M$75,11,FALSE),"")</f>
        <v>0.20689655172413793</v>
      </c>
      <c r="I16" s="98">
        <f>_xlfn.IFNA(VLOOKUP(CONCATENATE($A16,"_",I$3),Spikes!$A$4:$D$75,4,FALSE),"")</f>
        <v>2</v>
      </c>
      <c r="J16" s="98">
        <f>_xlfn.IFNA(VLOOKUP(CONCATENATE($A16,"_",J$3),Spore_forming!$A$4:$D$75,4,FALSE),"")</f>
        <v>2</v>
      </c>
      <c r="K16" s="98">
        <f>_xlfn.IFNA(VLOOKUP(CONCATENATE($A16,"_",$K$3),Stickiness!$A$3:$D$75,4,FALSE),"")</f>
        <v>0</v>
      </c>
      <c r="L16" s="98" t="str">
        <f>_xlfn.IFNA(VLOOKUP(CONCATENATE($A16,"_",$L$3),Chain_forming!$A$3:$D$70,4,FALSE),"")</f>
        <v>NA</v>
      </c>
      <c r="M16" s="98">
        <f>_xlfn.IFNA(VLOOKUP(CONCATENATE($A16,"_",M$3),Robust!$A$3:$D$70,4,FALSE),"")</f>
        <v>0.5</v>
      </c>
      <c r="N16" s="98" t="str">
        <f>_xlfn.IFNA(VLOOKUP(CONCATENATE($A16,"_",SpeciesTraits!L$3),Chain_forming!$A$3:$H$70,8,FALSE),"")</f>
        <v>NA</v>
      </c>
      <c r="O16" s="98" t="str">
        <f>_xlfn.IFNA(VLOOKUP(CONCATENATE($A16,"_",SpeciesTraits!$L$3),Chain_forming!$A$3:$H$70,6,FALSE),"")</f>
        <v>NA</v>
      </c>
      <c r="P16" s="98" t="str">
        <f>_xlfn.IFNA(VLOOKUP(CONCATENATE($A16,"_",$C$1),Size!$B$3:$F$69,5,FALSE),"")</f>
        <v>cylinder-dome-end</v>
      </c>
    </row>
    <row r="17" spans="1:16">
      <c r="A17" t="str">
        <f>Species!A56</f>
        <v>Core_inerme</v>
      </c>
      <c r="B17" t="str">
        <f>Species!B56</f>
        <v>Corethron inerme</v>
      </c>
      <c r="C17" s="98">
        <f>_xlfn.IFNA(VLOOKUP(CONCATENATE($A17,"_",$C$1),Size!$B$3:$M$75,6,FALSE),"")</f>
        <v>40</v>
      </c>
      <c r="D17" s="98">
        <f>_xlfn.IFNA(VLOOKUP(CONCATENATE($A17,"_",$C$1),Size!$B$3:$M$75,7,FALSE),"")</f>
        <v>350</v>
      </c>
      <c r="E17" s="98">
        <f>_xlfn.IFNA(VLOOKUP(CONCATENATE($A17,"_",$C$1),Size!$B$3:$M$75,8,FALSE),"")</f>
        <v>17.099759466766972</v>
      </c>
      <c r="F17" s="98">
        <f>_xlfn.IFNA(VLOOKUP(CONCATENATE($A17,"_",$C$1),Size!$B$3:$M$75,9,FALSE),"")</f>
        <v>46.570095078038364</v>
      </c>
      <c r="G17" s="98">
        <f>_xlfn.IFNA(VLOOKUP(CONCATENATE($A17,"_",$C$1),Size!$B$3:$M$75,10,FALSE),"")</f>
        <v>0.18</v>
      </c>
      <c r="H17" s="98">
        <f>_xlfn.IFNA(VLOOKUP(CONCATENATE($A17,"_",$C$1),Size!$B$3:$M$75,11,FALSE),"")</f>
        <v>0.10396039603960394</v>
      </c>
      <c r="I17" s="98">
        <f>_xlfn.IFNA(VLOOKUP(CONCATENATE($A17,"_",I$3),Spikes!$A$4:$D$75,4,FALSE),"")</f>
        <v>2</v>
      </c>
      <c r="J17" s="98">
        <f>_xlfn.IFNA(VLOOKUP(CONCATENATE($A17,"_",J$3),Spore_forming!$A$4:$D$75,4,FALSE),"")</f>
        <v>1</v>
      </c>
      <c r="K17" s="98">
        <f>_xlfn.IFNA(VLOOKUP(CONCATENATE($A17,"_",$K$3),Stickiness!$A$3:$D$75,4,FALSE),"")</f>
        <v>0</v>
      </c>
      <c r="L17" s="98">
        <f>_xlfn.IFNA(VLOOKUP(CONCATENATE($A17,"_",$L$3),Chain_forming!$A$3:$D$70,4,FALSE),"")</f>
        <v>2</v>
      </c>
      <c r="M17" s="98">
        <f>_xlfn.IFNA(VLOOKUP(CONCATENATE($A17,"_",M$3),Robust!$A$3:$D$70,4,FALSE),"")</f>
        <v>0.1</v>
      </c>
      <c r="N17" s="98">
        <f>_xlfn.IFNA(VLOOKUP(CONCATENATE($A17,"_",SpeciesTraits!L$3),Chain_forming!$A$3:$H$70,8,FALSE),"")</f>
        <v>1</v>
      </c>
      <c r="O17" s="98" t="str">
        <f>_xlfn.IFNA(VLOOKUP(CONCATENATE($A17,"_",SpeciesTraits!$L$3),Chain_forming!$A$3:$H$70,6,FALSE),"")</f>
        <v>Tube</v>
      </c>
      <c r="P17" s="98" t="str">
        <f>_xlfn.IFNA(VLOOKUP(CONCATENATE($A17,"_",$C$1),Size!$B$3:$F$69,5,FALSE),"")</f>
        <v>cylinder-dome-end</v>
      </c>
    </row>
    <row r="18" spans="1:16">
      <c r="A18" t="str">
        <f>Species!A55</f>
        <v>Core_penn</v>
      </c>
      <c r="B18" t="str">
        <f>Species!B55</f>
        <v>Corethron pennatum</v>
      </c>
      <c r="C18" s="98">
        <f>_xlfn.IFNA(VLOOKUP(CONCATENATE($A18,"_",$C$1),Size!$B$3:$M$75,6,FALSE),"")</f>
        <v>100</v>
      </c>
      <c r="D18" s="98">
        <f>_xlfn.IFNA(VLOOKUP(CONCATENATE($A18,"_",$C$1),Size!$B$3:$M$75,7,FALSE),"")</f>
        <v>100</v>
      </c>
      <c r="E18" s="98">
        <f>_xlfn.IFNA(VLOOKUP(CONCATENATE($A18,"_",$C$1),Size!$B$3:$M$75,8,FALSE),"")</f>
        <v>12.192497402683282</v>
      </c>
      <c r="F18" s="98">
        <f>_xlfn.IFNA(VLOOKUP(CONCATENATE($A18,"_",$C$1),Size!$B$3:$M$75,9,FALSE),"")</f>
        <v>12.192497402683282</v>
      </c>
      <c r="G18" s="98">
        <f>_xlfn.IFNA(VLOOKUP(CONCATENATE($A18,"_",$C$1),Size!$B$3:$M$75,10,FALSE),"")</f>
        <v>0.41379310344827586</v>
      </c>
      <c r="H18" s="98">
        <f>_xlfn.IFNA(VLOOKUP(CONCATENATE($A18,"_",$C$1),Size!$B$3:$M$75,11,FALSE),"")</f>
        <v>0.41379310344827586</v>
      </c>
      <c r="I18" s="98">
        <f>_xlfn.IFNA(VLOOKUP(CONCATENATE($A18,"_",I$3),Spikes!$A$4:$D$75,4,FALSE),"")</f>
        <v>2</v>
      </c>
      <c r="J18" s="98">
        <f>_xlfn.IFNA(VLOOKUP(CONCATENATE($A18,"_",J$3),Spore_forming!$A$4:$D$75,4,FALSE),"")</f>
        <v>2</v>
      </c>
      <c r="K18" s="98">
        <f>_xlfn.IFNA(VLOOKUP(CONCATENATE($A18,"_",$K$3),Stickiness!$A$3:$D$75,4,FALSE),"")</f>
        <v>0</v>
      </c>
      <c r="L18" s="98">
        <f>_xlfn.IFNA(VLOOKUP(CONCATENATE($A18,"_",$L$3),Chain_forming!$A$3:$D$70,4,FALSE),"")</f>
        <v>1</v>
      </c>
      <c r="M18" s="98">
        <f>_xlfn.IFNA(VLOOKUP(CONCATENATE($A18,"_",M$3),Robust!$A$3:$D$70,4,FALSE),"")</f>
        <v>0.5</v>
      </c>
      <c r="N18" s="98">
        <f>_xlfn.IFNA(VLOOKUP(CONCATENATE($A18,"_",SpeciesTraits!L$3),Chain_forming!$A$3:$H$70,8,FALSE),"")</f>
        <v>0</v>
      </c>
      <c r="O18" s="98" t="str">
        <f>_xlfn.IFNA(VLOOKUP(CONCATENATE($A18,"_",SpeciesTraits!$L$3),Chain_forming!$A$3:$H$70,6,FALSE),"")</f>
        <v>Solitary</v>
      </c>
      <c r="P18" s="98" t="str">
        <f>_xlfn.IFNA(VLOOKUP(CONCATENATE($A18,"_",$C$1),Size!$B$3:$F$69,5,FALSE),"")</f>
        <v>cylinder-dome-end</v>
      </c>
    </row>
    <row r="19" spans="1:16">
      <c r="A19" t="str">
        <f>Species!A12</f>
        <v>Coscino_marg</v>
      </c>
      <c r="B19" t="str">
        <f>Species!B12</f>
        <v>Coscinodiscus marginatus</v>
      </c>
      <c r="C19" s="98">
        <f>_xlfn.IFNA(VLOOKUP(CONCATENATE($A19,"_",$C$1),Size!$B$3:$M$75,6,FALSE),"")</f>
        <v>35</v>
      </c>
      <c r="D19" s="98">
        <f>_xlfn.IFNA(VLOOKUP(CONCATENATE($A19,"_",$C$1),Size!$B$3:$M$75,7,FALSE),"")</f>
        <v>200</v>
      </c>
      <c r="E19" s="98">
        <f>_xlfn.IFNA(VLOOKUP(CONCATENATE($A19,"_",$C$1),Size!$B$3:$M$75,8,FALSE),"")</f>
        <v>19.64347748629709</v>
      </c>
      <c r="F19" s="98">
        <f>_xlfn.IFNA(VLOOKUP(CONCATENATE($A19,"_",$C$1),Size!$B$3:$M$75,9,FALSE),"")</f>
        <v>62.785370347878271</v>
      </c>
      <c r="G19" s="98">
        <f>_xlfn.IFNA(VLOOKUP(CONCATENATE($A19,"_",$C$1),Size!$B$3:$M$75,10,FALSE),"")</f>
        <v>0.17</v>
      </c>
      <c r="H19" s="98">
        <f>_xlfn.IFNA(VLOOKUP(CONCATENATE($A19,"_",$C$1),Size!$B$3:$M$75,11,FALSE),"")</f>
        <v>0.08</v>
      </c>
      <c r="I19" s="98">
        <f>_xlfn.IFNA(VLOOKUP(CONCATENATE($A19,"_",I$3),Spikes!$A$4:$D$75,4,FALSE),"")</f>
        <v>1</v>
      </c>
      <c r="J19" s="98">
        <f>_xlfn.IFNA(VLOOKUP(CONCATENATE($A19,"_",J$3),Spore_forming!$A$4:$D$75,4,FALSE),"")</f>
        <v>1</v>
      </c>
      <c r="K19" s="98">
        <f>_xlfn.IFNA(VLOOKUP(CONCATENATE($A19,"_",$K$3),Stickiness!$A$3:$D$75,4,FALSE),"")</f>
        <v>0</v>
      </c>
      <c r="L19" s="98">
        <f>_xlfn.IFNA(VLOOKUP(CONCATENATE($A19,"_",$L$3),Chain_forming!$A$3:$D$70,4,FALSE),"")</f>
        <v>1</v>
      </c>
      <c r="M19" s="98">
        <f>_xlfn.IFNA(VLOOKUP(CONCATENATE($A19,"_",M$3),Robust!$A$3:$D$70,4,FALSE),"")</f>
        <v>1</v>
      </c>
      <c r="N19" s="98">
        <f>_xlfn.IFNA(VLOOKUP(CONCATENATE($A19,"_",SpeciesTraits!L$3),Chain_forming!$A$3:$H$70,8,FALSE),"")</f>
        <v>0</v>
      </c>
      <c r="O19" s="98" t="str">
        <f>_xlfn.IFNA(VLOOKUP(CONCATENATE($A19,"_",SpeciesTraits!$L$3),Chain_forming!$A$3:$H$70,6,FALSE),"")</f>
        <v>Solitary</v>
      </c>
      <c r="P19" s="98" t="str">
        <f>_xlfn.IFNA(VLOOKUP(CONCATENATE($A19,"_",$C$1),Size!$B$3:$F$69,5,FALSE),"")</f>
        <v>cylinder</v>
      </c>
    </row>
    <row r="20" spans="1:16">
      <c r="A20" t="str">
        <f>Species!A13</f>
        <v>Coscino_oculus</v>
      </c>
      <c r="B20" t="str">
        <f>Species!B13</f>
        <v>Coscinodiscus oculus iridis</v>
      </c>
      <c r="C20" s="98">
        <f>_xlfn.IFNA(VLOOKUP(CONCATENATE($A20,"_",$C$1),Size!$B$3:$M$75,6,FALSE),"")</f>
        <v>100</v>
      </c>
      <c r="D20" s="98">
        <f>_xlfn.IFNA(VLOOKUP(CONCATENATE($A20,"_",$C$1),Size!$B$3:$M$75,7,FALSE),"")</f>
        <v>300</v>
      </c>
      <c r="E20" s="98">
        <f>_xlfn.IFNA(VLOOKUP(CONCATENATE($A20,"_",$C$1),Size!$B$3:$M$75,8,FALSE),"")</f>
        <v>45.428011670459888</v>
      </c>
      <c r="F20" s="98">
        <f>_xlfn.IFNA(VLOOKUP(CONCATENATE($A20,"_",$C$1),Size!$B$3:$M$75,9,FALSE),"")</f>
        <v>136.2840435803796</v>
      </c>
      <c r="G20" s="98">
        <f>_xlfn.IFNA(VLOOKUP(CONCATENATE($A20,"_",$C$1),Size!$B$3:$M$75,10,FALSE),"")</f>
        <v>0.08</v>
      </c>
      <c r="H20" s="98">
        <f>_xlfn.IFNA(VLOOKUP(CONCATENATE($A20,"_",$C$1),Size!$B$3:$M$75,11,FALSE),"")</f>
        <v>0.03</v>
      </c>
      <c r="I20" s="98">
        <f>_xlfn.IFNA(VLOOKUP(CONCATENATE($A20,"_",I$3),Spikes!$A$4:$D$75,4,FALSE),"")</f>
        <v>1</v>
      </c>
      <c r="J20" s="98">
        <f>_xlfn.IFNA(VLOOKUP(CONCATENATE($A20,"_",J$3),Spore_forming!$A$4:$D$75,4,FALSE),"")</f>
        <v>1</v>
      </c>
      <c r="K20" s="98">
        <f>_xlfn.IFNA(VLOOKUP(CONCATENATE($A20,"_",$K$3),Stickiness!$A$3:$D$75,4,FALSE),"")</f>
        <v>0</v>
      </c>
      <c r="L20" s="98">
        <f>_xlfn.IFNA(VLOOKUP(CONCATENATE($A20,"_",$L$3),Chain_forming!$A$3:$D$70,4,FALSE),"")</f>
        <v>1</v>
      </c>
      <c r="M20" s="98">
        <f>_xlfn.IFNA(VLOOKUP(CONCATENATE($A20,"_",M$3),Robust!$A$3:$D$70,4,FALSE),"")</f>
        <v>1</v>
      </c>
      <c r="N20" s="98">
        <f>_xlfn.IFNA(VLOOKUP(CONCATENATE($A20,"_",SpeciesTraits!L$3),Chain_forming!$A$3:$H$70,8,FALSE),"")</f>
        <v>0</v>
      </c>
      <c r="O20" s="98" t="str">
        <f>_xlfn.IFNA(VLOOKUP(CONCATENATE($A20,"_",SpeciesTraits!$L$3),Chain_forming!$A$3:$H$70,6,FALSE),"")</f>
        <v>Solitary</v>
      </c>
      <c r="P20" s="98" t="str">
        <f>_xlfn.IFNA(VLOOKUP(CONCATENATE($A20,"_",$C$1),Size!$B$3:$F$69,5,FALSE),"")</f>
        <v>cylinder</v>
      </c>
    </row>
    <row r="21" spans="1:16">
      <c r="A21" t="str">
        <f>Species!A14</f>
        <v>Coscino_spp20</v>
      </c>
      <c r="B21" t="str">
        <f>Species!B14</f>
        <v>Coscinodiscus spp. &lt;20um</v>
      </c>
      <c r="C21" s="98">
        <f>_xlfn.IFNA(VLOOKUP(CONCATENATE($A21,"_",$C$1),Size!$B$3:$M$75,6,FALSE),"")</f>
        <v>15</v>
      </c>
      <c r="D21" s="98">
        <f>_xlfn.IFNA(VLOOKUP(CONCATENATE($A21,"_",$C$1),Size!$B$3:$M$75,7,FALSE),"")</f>
        <v>500</v>
      </c>
      <c r="E21" s="98">
        <f>_xlfn.IFNA(VLOOKUP(CONCATENATE($A21,"_",$C$1),Size!$B$3:$M$75,8,FALSE),"")</f>
        <v>6.6592800130695053</v>
      </c>
      <c r="F21" s="98">
        <f>_xlfn.IFNA(VLOOKUP(CONCATENATE($A21,"_",$C$1),Size!$B$3:$M$75,9,FALSE),"")</f>
        <v>286.17856063833295</v>
      </c>
      <c r="G21" s="98">
        <f>_xlfn.IFNA(VLOOKUP(CONCATENATE($A21,"_",$C$1),Size!$B$3:$M$75,10,FALSE),"")</f>
        <v>0.55238095238095231</v>
      </c>
      <c r="H21" s="98">
        <f>_xlfn.IFNA(VLOOKUP(CONCATENATE($A21,"_",$C$1),Size!$B$3:$M$75,11,FALSE),"")</f>
        <v>1.2E-2</v>
      </c>
      <c r="I21" s="98">
        <f>_xlfn.IFNA(VLOOKUP(CONCATENATE($A21,"_",I$3),Spikes!$A$4:$D$75,4,FALSE),"")</f>
        <v>1</v>
      </c>
      <c r="J21" s="98">
        <f>_xlfn.IFNA(VLOOKUP(CONCATENATE($A21,"_",J$3),Spore_forming!$A$4:$D$75,4,FALSE),"")</f>
        <v>1</v>
      </c>
      <c r="K21" s="98">
        <f>_xlfn.IFNA(VLOOKUP(CONCATENATE($A21,"_",$K$3),Stickiness!$A$3:$D$75,4,FALSE),"")</f>
        <v>0</v>
      </c>
      <c r="L21" s="98">
        <f>_xlfn.IFNA(VLOOKUP(CONCATENATE($A21,"_",$L$3),Chain_forming!$A$3:$D$70,4,FALSE),"")</f>
        <v>1</v>
      </c>
      <c r="M21" s="98">
        <f>_xlfn.IFNA(VLOOKUP(CONCATENATE($A21,"_",M$3),Robust!$A$3:$D$70,4,FALSE),"")</f>
        <v>1</v>
      </c>
      <c r="N21" s="98">
        <f>_xlfn.IFNA(VLOOKUP(CONCATENATE($A21,"_",SpeciesTraits!L$3),Chain_forming!$A$3:$H$70,8,FALSE),"")</f>
        <v>0</v>
      </c>
      <c r="O21" s="98" t="str">
        <f>_xlfn.IFNA(VLOOKUP(CONCATENATE($A21,"_",SpeciesTraits!$L$3),Chain_forming!$A$3:$H$70,6,FALSE),"")</f>
        <v>Solitary</v>
      </c>
      <c r="P21" s="98" t="str">
        <f>_xlfn.IFNA(VLOOKUP(CONCATENATE($A21,"_",$C$1),Size!$B$3:$F$69,5,FALSE),"")</f>
        <v>cylinder</v>
      </c>
    </row>
    <row r="22" spans="1:16">
      <c r="A22" t="str">
        <f>Species!A58</f>
        <v>Dact_antarc</v>
      </c>
      <c r="B22" t="str">
        <f>Species!B58</f>
        <v>Dactyliosolen antarcticus</v>
      </c>
      <c r="C22" s="98">
        <f>_xlfn.IFNA(VLOOKUP(CONCATENATE($A22,"_",$C$1),Size!$B$3:$M$75,6,FALSE),"")</f>
        <v>21</v>
      </c>
      <c r="D22" s="98">
        <f>_xlfn.IFNA(VLOOKUP(CONCATENATE($A22,"_",$C$1),Size!$B$3:$M$75,7,FALSE),"")</f>
        <v>140</v>
      </c>
      <c r="E22" s="98">
        <f>_xlfn.IFNA(VLOOKUP(CONCATENATE($A22,"_",$C$1),Size!$B$3:$M$75,8,FALSE),"")</f>
        <v>8.7304324644153528</v>
      </c>
      <c r="F22" s="98">
        <f>_xlfn.IFNA(VLOOKUP(CONCATENATE($A22,"_",$C$1),Size!$B$3:$M$75,9,FALSE),"")</f>
        <v>59.685858118445886</v>
      </c>
      <c r="G22" s="98">
        <f>_xlfn.IFNA(VLOOKUP(CONCATENATE($A22,"_",$C$1),Size!$B$3:$M$75,10,FALSE),"")</f>
        <v>0.40293040293040294</v>
      </c>
      <c r="H22" s="98">
        <f>_xlfn.IFNA(VLOOKUP(CONCATENATE($A22,"_",$C$1),Size!$B$3:$M$75,11,FALSE),"")</f>
        <v>5.8730158730158737E-2</v>
      </c>
      <c r="I22" s="98">
        <f>_xlfn.IFNA(VLOOKUP(CONCATENATE($A22,"_",I$3),Spikes!$A$4:$D$75,4,FALSE),"")</f>
        <v>1</v>
      </c>
      <c r="J22" s="98">
        <f>_xlfn.IFNA(VLOOKUP(CONCATENATE($A22,"_",J$3),Spore_forming!$A$4:$D$75,4,FALSE),"")</f>
        <v>1</v>
      </c>
      <c r="K22" s="98">
        <f>_xlfn.IFNA(VLOOKUP(CONCATENATE($A22,"_",$K$3),Stickiness!$A$3:$D$75,4,FALSE),"")</f>
        <v>0</v>
      </c>
      <c r="L22" s="98">
        <f>_xlfn.IFNA(VLOOKUP(CONCATENATE($A22,"_",$L$3),Chain_forming!$A$3:$D$70,4,FALSE),"")</f>
        <v>2</v>
      </c>
      <c r="M22" s="98">
        <f>_xlfn.IFNA(VLOOKUP(CONCATENATE($A22,"_",M$3),Robust!$A$3:$D$70,4,FALSE),"")</f>
        <v>0.1</v>
      </c>
      <c r="N22" s="98">
        <f>_xlfn.IFNA(VLOOKUP(CONCATENATE($A22,"_",SpeciesTraits!L$3),Chain_forming!$A$3:$H$70,8,FALSE),"")</f>
        <v>0.5</v>
      </c>
      <c r="O22" s="98" t="str">
        <f>_xlfn.IFNA(VLOOKUP(CONCATENATE($A22,"_",SpeciesTraits!$L$3),Chain_forming!$A$3:$H$70,6,FALSE),"")</f>
        <v>Tube</v>
      </c>
      <c r="P22" s="98" t="str">
        <f>_xlfn.IFNA(VLOOKUP(CONCATENATE($A22,"_",$C$1),Size!$B$3:$F$69,5,FALSE),"")</f>
        <v>cylinder</v>
      </c>
    </row>
    <row r="23" spans="1:16">
      <c r="A23" t="str">
        <f>Species!A66</f>
        <v>Emil_hux</v>
      </c>
      <c r="B23" t="str">
        <f>Species!B66</f>
        <v>Emiliana huxleyi</v>
      </c>
      <c r="C23" s="98">
        <f>_xlfn.IFNA(VLOOKUP(CONCATENATE($A23,"_",$C$1),Size!$B$3:$M$75,6,FALSE),"")</f>
        <v>0</v>
      </c>
      <c r="D23" s="98">
        <f>_xlfn.IFNA(VLOOKUP(CONCATENATE($A23,"_",$C$1),Size!$B$3:$M$75,7,FALSE),"")</f>
        <v>0</v>
      </c>
      <c r="E23" s="98">
        <f>_xlfn.IFNA(VLOOKUP(CONCATENATE($A23,"_",$C$1),Size!$B$3:$M$75,8,FALSE),"")</f>
        <v>2.5</v>
      </c>
      <c r="F23" s="98">
        <f>_xlfn.IFNA(VLOOKUP(CONCATENATE($A23,"_",$C$1),Size!$B$3:$M$75,9,FALSE),"")</f>
        <v>5</v>
      </c>
      <c r="G23" s="98">
        <f>_xlfn.IFNA(VLOOKUP(CONCATENATE($A23,"_",$C$1),Size!$B$3:$M$75,10,FALSE),"")</f>
        <v>0</v>
      </c>
      <c r="H23" s="98">
        <f>_xlfn.IFNA(VLOOKUP(CONCATENATE($A23,"_",$C$1),Size!$B$3:$M$75,11,FALSE),"")</f>
        <v>0</v>
      </c>
      <c r="I23" s="98">
        <f>_xlfn.IFNA(VLOOKUP(CONCATENATE($A23,"_",I$3),Spikes!$A$4:$D$75,4,FALSE),"")</f>
        <v>1</v>
      </c>
      <c r="J23" s="98">
        <f>_xlfn.IFNA(VLOOKUP(CONCATENATE($A23,"_",J$3),Spore_forming!$A$4:$D$75,4,FALSE),"")</f>
        <v>2</v>
      </c>
      <c r="K23" s="98">
        <f>_xlfn.IFNA(VLOOKUP(CONCATENATE($A23,"_",$K$3),Stickiness!$A$3:$D$75,4,FALSE),"")</f>
        <v>0</v>
      </c>
      <c r="L23" s="98">
        <f>_xlfn.IFNA(VLOOKUP(CONCATENATE($A23,"_",$L$3),Chain_forming!$A$3:$D$70,4,FALSE),"")</f>
        <v>1</v>
      </c>
      <c r="M23" s="98">
        <f>_xlfn.IFNA(VLOOKUP(CONCATENATE($A23,"_",M$3),Robust!$A$3:$D$70,4,FALSE),"")</f>
        <v>0</v>
      </c>
      <c r="N23" s="98">
        <f>_xlfn.IFNA(VLOOKUP(CONCATENATE($A23,"_",SpeciesTraits!L$3),Chain_forming!$A$3:$H$70,8,FALSE),"")</f>
        <v>0</v>
      </c>
      <c r="O23" s="98" t="str">
        <f>_xlfn.IFNA(VLOOKUP(CONCATENATE($A23,"_",SpeciesTraits!$L$3),Chain_forming!$A$3:$H$70,6,FALSE),"")</f>
        <v>Solitary</v>
      </c>
      <c r="P23" s="98" t="str">
        <f>_xlfn.IFNA(VLOOKUP(CONCATENATE($A23,"_",$C$1),Size!$B$3:$F$69,5,FALSE),"")</f>
        <v>sphere</v>
      </c>
    </row>
    <row r="24" spans="1:16">
      <c r="A24" t="str">
        <f>Species!A57</f>
        <v>Euc_antarc</v>
      </c>
      <c r="B24" t="str">
        <f>Species!B57</f>
        <v>Eucampia antarctica</v>
      </c>
      <c r="C24" s="98">
        <f>_xlfn.IFNA(VLOOKUP(CONCATENATE($A24,"_",$C$1),Size!$B$3:$M$75,6,FALSE),"")</f>
        <v>18</v>
      </c>
      <c r="D24" s="98">
        <f>_xlfn.IFNA(VLOOKUP(CONCATENATE($A24,"_",$C$1),Size!$B$3:$M$75,7,FALSE),"")</f>
        <v>92</v>
      </c>
      <c r="E24" s="98">
        <f>_xlfn.IFNA(VLOOKUP(CONCATENATE($A24,"_",$C$1),Size!$B$3:$M$75,8,FALSE),"")</f>
        <v>6.7469121679131225</v>
      </c>
      <c r="F24" s="98">
        <f>_xlfn.IFNA(VLOOKUP(CONCATENATE($A24,"_",$C$1),Size!$B$3:$M$75,9,FALSE),"")</f>
        <v>26.688463082283789</v>
      </c>
      <c r="G24" s="98">
        <f>_xlfn.IFNA(VLOOKUP(CONCATENATE($A24,"_",$C$1),Size!$B$3:$M$75,10,FALSE),"")</f>
        <v>0.55067155067155071</v>
      </c>
      <c r="H24" s="98">
        <f>_xlfn.IFNA(VLOOKUP(CONCATENATE($A24,"_",$C$1),Size!$B$3:$M$75,11,FALSE),"")</f>
        <v>0.16148504695020913</v>
      </c>
      <c r="I24" s="98">
        <f>_xlfn.IFNA(VLOOKUP(CONCATENATE($A24,"_",I$3),Spikes!$A$4:$D$75,4,FALSE),"")</f>
        <v>1</v>
      </c>
      <c r="J24" s="98">
        <f>_xlfn.IFNA(VLOOKUP(CONCATENATE($A24,"_",J$3),Spore_forming!$A$4:$D$75,4,FALSE),"")</f>
        <v>2</v>
      </c>
      <c r="K24" s="98">
        <f>_xlfn.IFNA(VLOOKUP(CONCATENATE($A24,"_",$K$3),Stickiness!$A$3:$D$75,4,FALSE),"")</f>
        <v>0</v>
      </c>
      <c r="L24" s="98">
        <f>_xlfn.IFNA(VLOOKUP(CONCATENATE($A24,"_",$L$3),Chain_forming!$A$3:$D$70,4,FALSE),"")</f>
        <v>2</v>
      </c>
      <c r="M24" s="98">
        <f>_xlfn.IFNA(VLOOKUP(CONCATENATE($A24,"_",M$3),Robust!$A$3:$D$70,4,FALSE),"")</f>
        <v>0.1</v>
      </c>
      <c r="N24" s="98">
        <f>_xlfn.IFNA(VLOOKUP(CONCATENATE($A24,"_",SpeciesTraits!L$3),Chain_forming!$A$3:$H$70,8,FALSE),"")</f>
        <v>1</v>
      </c>
      <c r="O24" s="98" t="str">
        <f>_xlfn.IFNA(VLOOKUP(CONCATENATE($A24,"_",SpeciesTraits!$L$3),Chain_forming!$A$3:$H$70,6,FALSE),"")</f>
        <v>Tube</v>
      </c>
      <c r="P24" s="98" t="str">
        <f>_xlfn.IFNA(VLOOKUP(CONCATENATE($A24,"_",$C$1),Size!$B$3:$F$69,5,FALSE),"")</f>
        <v>prism-elliptic-base</v>
      </c>
    </row>
    <row r="25" spans="1:16">
      <c r="A25" t="str">
        <f>Species!A5</f>
        <v>Frag_island</v>
      </c>
      <c r="B25" t="str">
        <f>Species!B5</f>
        <v>Fragilaria islandica</v>
      </c>
      <c r="C25" s="98">
        <f>_xlfn.IFNA(VLOOKUP(CONCATENATE($A25,"_",$C$1),Size!$B$3:$M$75,6,FALSE),"")</f>
        <v>13</v>
      </c>
      <c r="D25" s="98">
        <f>_xlfn.IFNA(VLOOKUP(CONCATENATE($A25,"_",$C$1),Size!$B$3:$M$75,7,FALSE),"")</f>
        <v>120</v>
      </c>
      <c r="E25" s="98">
        <f>_xlfn.IFNA(VLOOKUP(CONCATENATE($A25,"_",$C$1),Size!$B$3:$M$75,8,FALSE),"")</f>
        <v>2.7993833676129363</v>
      </c>
      <c r="F25" s="98">
        <f>_xlfn.IFNA(VLOOKUP(CONCATENATE($A25,"_",$C$1),Size!$B$3:$M$75,9,FALSE),"")</f>
        <v>8.2548181222365642</v>
      </c>
      <c r="G25" s="98">
        <f>_xlfn.IFNA(VLOOKUP(CONCATENATE($A25,"_",$C$1),Size!$B$3:$M$75,10,FALSE),"")</f>
        <v>1.487179487179487</v>
      </c>
      <c r="H25" s="98">
        <f>_xlfn.IFNA(VLOOKUP(CONCATENATE($A25,"_",$C$1),Size!$B$3:$M$75,11,FALSE),"")</f>
        <v>0.81666666666666665</v>
      </c>
      <c r="I25" s="98">
        <f>_xlfn.IFNA(VLOOKUP(CONCATENATE($A25,"_",I$3),Spikes!$A$4:$D$75,4,FALSE),"")</f>
        <v>1</v>
      </c>
      <c r="J25" s="98">
        <f>_xlfn.IFNA(VLOOKUP(CONCATENATE($A25,"_",J$3),Spore_forming!$A$4:$D$75,4,FALSE),"")</f>
        <v>1</v>
      </c>
      <c r="K25" s="98">
        <f>_xlfn.IFNA(VLOOKUP(CONCATENATE($A25,"_",$K$3),Stickiness!$A$3:$D$75,4,FALSE),"")</f>
        <v>0</v>
      </c>
      <c r="L25" s="98">
        <f>_xlfn.IFNA(VLOOKUP(CONCATENATE($A25,"_",$L$3),Chain_forming!$A$3:$D$70,4,FALSE),"")</f>
        <v>2</v>
      </c>
      <c r="M25" s="98">
        <f>_xlfn.IFNA(VLOOKUP(CONCATENATE($A25,"_",M$3),Robust!$A$3:$D$70,4,FALSE),"")</f>
        <v>0.1</v>
      </c>
      <c r="N25" s="98">
        <f>_xlfn.IFNA(VLOOKUP(CONCATENATE($A25,"_",SpeciesTraits!L$3),Chain_forming!$A$3:$H$70,8,FALSE),"")</f>
        <v>1</v>
      </c>
      <c r="O25" s="98" t="str">
        <f>_xlfn.IFNA(VLOOKUP(CONCATENATE($A25,"_",SpeciesTraits!$L$3),Chain_forming!$A$3:$H$70,6,FALSE),"")</f>
        <v>Ribbon</v>
      </c>
      <c r="P25" s="98" t="str">
        <f>_xlfn.IFNA(VLOOKUP(CONCATENATE($A25,"_",$C$1),Size!$B$3:$F$69,5,FALSE),"")</f>
        <v>prism-elliptic-base</v>
      </c>
    </row>
    <row r="26" spans="1:16">
      <c r="A26" t="str">
        <f>Species!A50</f>
        <v>Frag_curta</v>
      </c>
      <c r="B26" t="str">
        <f>Species!B50</f>
        <v>Fragilariopsis curta</v>
      </c>
      <c r="C26" s="98">
        <f>_xlfn.IFNA(VLOOKUP(CONCATENATE($A26,"_",$C$1),Size!$B$3:$M$75,6,FALSE),"")</f>
        <v>10</v>
      </c>
      <c r="D26" s="98">
        <f>_xlfn.IFNA(VLOOKUP(CONCATENATE($A26,"_",$C$1),Size!$B$3:$M$75,7,FALSE),"")</f>
        <v>42</v>
      </c>
      <c r="E26" s="98">
        <f>_xlfn.IFNA(VLOOKUP(CONCATENATE($A26,"_",$C$1),Size!$B$3:$M$75,8,FALSE),"")</f>
        <v>2.842578412851485</v>
      </c>
      <c r="F26" s="98">
        <f>_xlfn.IFNA(VLOOKUP(CONCATENATE($A26,"_",$C$1),Size!$B$3:$M$75,9,FALSE),"")</f>
        <v>6.5692787098318348</v>
      </c>
      <c r="G26" s="98">
        <f>_xlfn.IFNA(VLOOKUP(CONCATENATE($A26,"_",$C$1),Size!$B$3:$M$75,10,FALSE),"")</f>
        <v>1.342857142857143</v>
      </c>
      <c r="H26" s="98">
        <f>_xlfn.IFNA(VLOOKUP(CONCATENATE($A26,"_",$C$1),Size!$B$3:$M$75,11,FALSE),"")</f>
        <v>0.71428571428571419</v>
      </c>
      <c r="I26" s="98">
        <f>_xlfn.IFNA(VLOOKUP(CONCATENATE($A26,"_",I$3),Spikes!$A$4:$D$75,4,FALSE),"")</f>
        <v>1</v>
      </c>
      <c r="J26" s="98">
        <f>_xlfn.IFNA(VLOOKUP(CONCATENATE($A26,"_",J$3),Spore_forming!$A$4:$D$75,4,FALSE),"")</f>
        <v>1</v>
      </c>
      <c r="K26" s="98">
        <f>_xlfn.IFNA(VLOOKUP(CONCATENATE($A26,"_",$K$3),Stickiness!$A$3:$D$75,4,FALSE),"")</f>
        <v>0</v>
      </c>
      <c r="L26" s="98">
        <f>_xlfn.IFNA(VLOOKUP(CONCATENATE($A26,"_",$L$3),Chain_forming!$A$3:$D$70,4,FALSE),"")</f>
        <v>2</v>
      </c>
      <c r="M26" s="98">
        <f>_xlfn.IFNA(VLOOKUP(CONCATENATE($A26,"_",M$3),Robust!$A$3:$D$70,4,FALSE),"")</f>
        <v>1</v>
      </c>
      <c r="N26" s="98">
        <f>_xlfn.IFNA(VLOOKUP(CONCATENATE($A26,"_",SpeciesTraits!L$3),Chain_forming!$A$3:$H$70,8,FALSE),"")</f>
        <v>1</v>
      </c>
      <c r="O26" s="98" t="str">
        <f>_xlfn.IFNA(VLOOKUP(CONCATENATE($A26,"_",SpeciesTraits!$L$3),Chain_forming!$A$3:$H$70,6,FALSE),"")</f>
        <v>Ribbon</v>
      </c>
      <c r="P26" s="98" t="str">
        <f>_xlfn.IFNA(VLOOKUP(CONCATENATE($A26,"_",$C$1),Size!$B$3:$F$69,5,FALSE),"")</f>
        <v>prism-elliptic-base</v>
      </c>
    </row>
    <row r="27" spans="1:16">
      <c r="A27" t="str">
        <f>Species!A51</f>
        <v>Frag_cylin</v>
      </c>
      <c r="B27" t="str">
        <f>Species!B51</f>
        <v>Fragilariopsis cylindrus</v>
      </c>
      <c r="C27" s="98">
        <f>_xlfn.IFNA(VLOOKUP(CONCATENATE($A27,"_",$C$1),Size!$B$3:$M$75,6,FALSE),"")</f>
        <v>3</v>
      </c>
      <c r="D27" s="98">
        <f>_xlfn.IFNA(VLOOKUP(CONCATENATE($A27,"_",$C$1),Size!$B$3:$M$75,7,FALSE),"")</f>
        <v>48</v>
      </c>
      <c r="E27" s="98">
        <f>_xlfn.IFNA(VLOOKUP(CONCATENATE($A27,"_",$C$1),Size!$B$3:$M$75,8,FALSE),"")</f>
        <v>1.3103706971044482</v>
      </c>
      <c r="F27" s="98">
        <f>_xlfn.IFNA(VLOOKUP(CONCATENATE($A27,"_",$C$1),Size!$B$3:$M$75,9,FALSE),"")</f>
        <v>4.7622031559045981</v>
      </c>
      <c r="G27" s="98">
        <f>_xlfn.IFNA(VLOOKUP(CONCATENATE($A27,"_",$C$1),Size!$B$3:$M$75,10,FALSE),"")</f>
        <v>2.6666666666666665</v>
      </c>
      <c r="H27" s="98">
        <f>_xlfn.IFNA(VLOOKUP(CONCATENATE($A27,"_",$C$1),Size!$B$3:$M$75,11,FALSE),"")</f>
        <v>1.2083333333333333</v>
      </c>
      <c r="I27" s="98">
        <f>_xlfn.IFNA(VLOOKUP(CONCATENATE($A27,"_",I$3),Spikes!$A$4:$D$75,4,FALSE),"")</f>
        <v>1</v>
      </c>
      <c r="J27" s="98">
        <f>_xlfn.IFNA(VLOOKUP(CONCATENATE($A27,"_",J$3),Spore_forming!$A$4:$D$75,4,FALSE),"")</f>
        <v>1</v>
      </c>
      <c r="K27" s="98">
        <f>_xlfn.IFNA(VLOOKUP(CONCATENATE($A27,"_",$K$3),Stickiness!$A$3:$D$75,4,FALSE),"")</f>
        <v>0</v>
      </c>
      <c r="L27" s="98">
        <f>_xlfn.IFNA(VLOOKUP(CONCATENATE($A27,"_",$L$3),Chain_forming!$A$3:$D$70,4,FALSE),"")</f>
        <v>2</v>
      </c>
      <c r="M27" s="98">
        <f>_xlfn.IFNA(VLOOKUP(CONCATENATE($A27,"_",M$3),Robust!$A$3:$D$70,4,FALSE),"")</f>
        <v>1</v>
      </c>
      <c r="N27" s="98">
        <f>_xlfn.IFNA(VLOOKUP(CONCATENATE($A27,"_",SpeciesTraits!L$3),Chain_forming!$A$3:$H$70,8,FALSE),"")</f>
        <v>1</v>
      </c>
      <c r="O27" s="98" t="str">
        <f>_xlfn.IFNA(VLOOKUP(CONCATENATE($A27,"_",SpeciesTraits!$L$3),Chain_forming!$A$3:$H$70,6,FALSE),"")</f>
        <v>Ribbon</v>
      </c>
      <c r="P27" s="98" t="str">
        <f>_xlfn.IFNA(VLOOKUP(CONCATENATE($A27,"_",$C$1),Size!$B$3:$F$69,5,FALSE),"")</f>
        <v>prism-elliptic-base</v>
      </c>
    </row>
    <row r="28" spans="1:16">
      <c r="A28" t="str">
        <f>Species!A26</f>
        <v>Frag_kerg</v>
      </c>
      <c r="B28" t="str">
        <f>Species!B26</f>
        <v>Fragilariopsis kerguelensis</v>
      </c>
      <c r="C28" s="98">
        <f>_xlfn.IFNA(VLOOKUP(CONCATENATE($A28,"_",$C$1),Size!$B$3:$M$75,6,FALSE),"")</f>
        <v>10</v>
      </c>
      <c r="D28" s="98">
        <f>_xlfn.IFNA(VLOOKUP(CONCATENATE($A28,"_",$C$1),Size!$B$3:$M$75,7,FALSE),"")</f>
        <v>76</v>
      </c>
      <c r="E28" s="98">
        <f>_xlfn.IFNA(VLOOKUP(CONCATENATE($A28,"_",$C$1),Size!$B$3:$M$75,8,FALSE),"")</f>
        <v>3.6056239257685205</v>
      </c>
      <c r="F28" s="98">
        <f>_xlfn.IFNA(VLOOKUP(CONCATENATE($A28,"_",$C$1),Size!$B$3:$M$75,9,FALSE),"")</f>
        <v>13.297385809149775</v>
      </c>
      <c r="G28" s="98">
        <f>_xlfn.IFNA(VLOOKUP(CONCATENATE($A28,"_",$C$1),Size!$B$3:$M$75,10,FALSE),"")</f>
        <v>0.99999999999999989</v>
      </c>
      <c r="H28" s="98">
        <f>_xlfn.IFNA(VLOOKUP(CONCATENATE($A28,"_",$C$1),Size!$B$3:$M$75,11,FALSE),"")</f>
        <v>0.34146730462519936</v>
      </c>
      <c r="I28" s="98">
        <f>_xlfn.IFNA(VLOOKUP(CONCATENATE($A28,"_",I$3),Spikes!$A$4:$D$75,4,FALSE),"")</f>
        <v>1</v>
      </c>
      <c r="J28" s="98">
        <f>_xlfn.IFNA(VLOOKUP(CONCATENATE($A28,"_",J$3),Spore_forming!$A$4:$D$75,4,FALSE),"")</f>
        <v>2</v>
      </c>
      <c r="K28" s="98">
        <f>_xlfn.IFNA(VLOOKUP(CONCATENATE($A28,"_",$K$3),Stickiness!$A$3:$D$75,4,FALSE),"")</f>
        <v>0</v>
      </c>
      <c r="L28" s="98">
        <f>_xlfn.IFNA(VLOOKUP(CONCATENATE($A28,"_",$L$3),Chain_forming!$A$3:$D$70,4,FALSE),"")</f>
        <v>2</v>
      </c>
      <c r="M28" s="98">
        <f>_xlfn.IFNA(VLOOKUP(CONCATENATE($A28,"_",M$3),Robust!$A$3:$D$70,4,FALSE),"")</f>
        <v>1</v>
      </c>
      <c r="N28" s="98">
        <f>_xlfn.IFNA(VLOOKUP(CONCATENATE($A28,"_",SpeciesTraits!L$3),Chain_forming!$A$3:$H$70,8,FALSE),"")</f>
        <v>1</v>
      </c>
      <c r="O28" s="98" t="str">
        <f>_xlfn.IFNA(VLOOKUP(CONCATENATE($A28,"_",SpeciesTraits!$L$3),Chain_forming!$A$3:$H$70,6,FALSE),"")</f>
        <v>Ribbon</v>
      </c>
      <c r="P28" s="98" t="str">
        <f>_xlfn.IFNA(VLOOKUP(CONCATENATE($A28,"_",$C$1),Size!$B$3:$F$69,5,FALSE),"")</f>
        <v>prism-elliptic-base</v>
      </c>
    </row>
    <row r="29" spans="1:16">
      <c r="A29" t="str">
        <f>Species!A29</f>
        <v>Frag_pseud</v>
      </c>
      <c r="B29" t="str">
        <f>Species!B29</f>
        <v>Fragilariopsis pseudonana</v>
      </c>
      <c r="C29" s="98">
        <f>_xlfn.IFNA(VLOOKUP(CONCATENATE($A29,"_",$C$1),Size!$B$3:$M$75,6,FALSE),"")</f>
        <v>4</v>
      </c>
      <c r="D29" s="98">
        <f>_xlfn.IFNA(VLOOKUP(CONCATENATE($A29,"_",$C$1),Size!$B$3:$M$75,7,FALSE),"")</f>
        <v>20</v>
      </c>
      <c r="E29" s="98">
        <f>_xlfn.IFNA(VLOOKUP(CONCATENATE($A29,"_",$C$1),Size!$B$3:$M$75,8,FALSE),"")</f>
        <v>1.7380133224432248</v>
      </c>
      <c r="F29" s="98">
        <f>_xlfn.IFNA(VLOOKUP(CONCATENATE($A29,"_",$C$1),Size!$B$3:$M$75,9,FALSE),"")</f>
        <v>4.8274469230281483</v>
      </c>
      <c r="G29" s="98">
        <f>_xlfn.IFNA(VLOOKUP(CONCATENATE($A29,"_",$C$1),Size!$B$3:$M$75,10,FALSE),"")</f>
        <v>2.0714285714285716</v>
      </c>
      <c r="H29" s="98">
        <f>_xlfn.IFNA(VLOOKUP(CONCATENATE($A29,"_",$C$1),Size!$B$3:$M$75,11,FALSE),"")</f>
        <v>0.83333333333333326</v>
      </c>
      <c r="I29" s="98">
        <f>_xlfn.IFNA(VLOOKUP(CONCATENATE($A29,"_",I$3),Spikes!$A$4:$D$75,4,FALSE),"")</f>
        <v>1</v>
      </c>
      <c r="J29" s="98">
        <f>_xlfn.IFNA(VLOOKUP(CONCATENATE($A29,"_",J$3),Spore_forming!$A$4:$D$75,4,FALSE),"")</f>
        <v>1</v>
      </c>
      <c r="K29" s="98">
        <f>_xlfn.IFNA(VLOOKUP(CONCATENATE($A29,"_",$K$3),Stickiness!$A$3:$D$75,4,FALSE),"")</f>
        <v>0</v>
      </c>
      <c r="L29" s="98">
        <f>_xlfn.IFNA(VLOOKUP(CONCATENATE($A29,"_",$L$3),Chain_forming!$A$3:$D$70,4,FALSE),"")</f>
        <v>2</v>
      </c>
      <c r="M29" s="98">
        <f>_xlfn.IFNA(VLOOKUP(CONCATENATE($A29,"_",M$3),Robust!$A$3:$D$70,4,FALSE),"")</f>
        <v>0.5</v>
      </c>
      <c r="N29" s="98">
        <f>_xlfn.IFNA(VLOOKUP(CONCATENATE($A29,"_",SpeciesTraits!L$3),Chain_forming!$A$3:$H$70,8,FALSE),"")</f>
        <v>0.5</v>
      </c>
      <c r="O29" s="98" t="str">
        <f>_xlfn.IFNA(VLOOKUP(CONCATENATE($A29,"_",SpeciesTraits!$L$3),Chain_forming!$A$3:$H$70,6,FALSE),"")</f>
        <v>Ribbon</v>
      </c>
      <c r="P29" s="98" t="str">
        <f>_xlfn.IFNA(VLOOKUP(CONCATENATE($A29,"_",$C$1),Size!$B$3:$F$69,5,FALSE),"")</f>
        <v>prism-elliptic-base</v>
      </c>
    </row>
    <row r="30" spans="1:16">
      <c r="A30" t="str">
        <f>Species!A33</f>
        <v>Frag_rhomb</v>
      </c>
      <c r="B30" t="str">
        <f>Species!B33</f>
        <v>Fragilariopsis rhombica</v>
      </c>
      <c r="C30" s="98">
        <f>_xlfn.IFNA(VLOOKUP(CONCATENATE($A30,"_",$C$1),Size!$B$3:$M$75,6,FALSE),"")</f>
        <v>11</v>
      </c>
      <c r="D30" s="98">
        <f>_xlfn.IFNA(VLOOKUP(CONCATENATE($A30,"_",$C$1),Size!$B$3:$M$75,7,FALSE),"")</f>
        <v>53</v>
      </c>
      <c r="E30" s="98">
        <f>_xlfn.IFNA(VLOOKUP(CONCATENATE($A30,"_",$C$1),Size!$B$3:$M$75,8,FALSE),"")</f>
        <v>4.8699816866889583</v>
      </c>
      <c r="F30" s="98">
        <f>_xlfn.IFNA(VLOOKUP(CONCATENATE($A30,"_",$C$1),Size!$B$3:$M$75,9,FALSE),"")</f>
        <v>11.242711328203722</v>
      </c>
      <c r="G30" s="98">
        <f>_xlfn.IFNA(VLOOKUP(CONCATENATE($A30,"_",$C$1),Size!$B$3:$M$75,10,FALSE),"")</f>
        <v>0.71753246753246758</v>
      </c>
      <c r="H30" s="98">
        <f>_xlfn.IFNA(VLOOKUP(CONCATENATE($A30,"_",$C$1),Size!$B$3:$M$75,11,FALSE),"")</f>
        <v>0.37340018472093939</v>
      </c>
      <c r="I30" s="98">
        <f>_xlfn.IFNA(VLOOKUP(CONCATENATE($A30,"_",I$3),Spikes!$A$4:$D$75,4,FALSE),"")</f>
        <v>1</v>
      </c>
      <c r="J30" s="98">
        <f>_xlfn.IFNA(VLOOKUP(CONCATENATE($A30,"_",J$3),Spore_forming!$A$4:$D$75,4,FALSE),"")</f>
        <v>1</v>
      </c>
      <c r="K30" s="98">
        <f>_xlfn.IFNA(VLOOKUP(CONCATENATE($A30,"_",$K$3),Stickiness!$A$3:$D$75,4,FALSE),"")</f>
        <v>0</v>
      </c>
      <c r="L30" s="98">
        <f>_xlfn.IFNA(VLOOKUP(CONCATENATE($A30,"_",$L$3),Chain_forming!$A$3:$D$70,4,FALSE),"")</f>
        <v>2</v>
      </c>
      <c r="M30" s="98">
        <f>_xlfn.IFNA(VLOOKUP(CONCATENATE($A30,"_",M$3),Robust!$A$3:$D$70,4,FALSE),"")</f>
        <v>1</v>
      </c>
      <c r="N30" s="98">
        <f>_xlfn.IFNA(VLOOKUP(CONCATENATE($A30,"_",SpeciesTraits!L$3),Chain_forming!$A$3:$H$70,8,FALSE),"")</f>
        <v>1</v>
      </c>
      <c r="O30" s="98" t="str">
        <f>_xlfn.IFNA(VLOOKUP(CONCATENATE($A30,"_",SpeciesTraits!$L$3),Chain_forming!$A$3:$H$70,6,FALSE),"")</f>
        <v>Ribbon</v>
      </c>
      <c r="P30" s="98" t="str">
        <f>_xlfn.IFNA(VLOOKUP(CONCATENATE($A30,"_",$C$1),Size!$B$3:$F$69,5,FALSE),"")</f>
        <v>prism-elliptic-base</v>
      </c>
    </row>
    <row r="31" spans="1:16">
      <c r="A31" t="str">
        <f>Species!A52</f>
        <v>Frag_rits</v>
      </c>
      <c r="B31" t="str">
        <f>Species!B52</f>
        <v>Fragilariopsis ritscheri</v>
      </c>
      <c r="C31" s="98">
        <f>_xlfn.IFNA(VLOOKUP(CONCATENATE($A31,"_",$C$1),Size!$B$3:$M$75,6,FALSE),"")</f>
        <v>0</v>
      </c>
      <c r="D31" s="98">
        <f>_xlfn.IFNA(VLOOKUP(CONCATENATE($A31,"_",$C$1),Size!$B$3:$M$75,7,FALSE),"")</f>
        <v>0</v>
      </c>
      <c r="E31" s="98">
        <f>_xlfn.IFNA(VLOOKUP(CONCATENATE($A31,"_",$C$1),Size!$B$3:$M$75,8,FALSE),"")</f>
        <v>0</v>
      </c>
      <c r="F31" s="98">
        <f>_xlfn.IFNA(VLOOKUP(CONCATENATE($A31,"_",$C$1),Size!$B$3:$M$75,9,FALSE),"")</f>
        <v>0</v>
      </c>
      <c r="G31" s="98">
        <f>_xlfn.IFNA(VLOOKUP(CONCATENATE($A31,"_",$C$1),Size!$B$3:$M$75,10,FALSE),"")</f>
        <v>0</v>
      </c>
      <c r="H31" s="98">
        <f>_xlfn.IFNA(VLOOKUP(CONCATENATE($A31,"_",$C$1),Size!$B$3:$M$75,11,FALSE),"")</f>
        <v>0</v>
      </c>
      <c r="I31" s="98">
        <f>_xlfn.IFNA(VLOOKUP(CONCATENATE($A31,"_",I$3),Spikes!$A$4:$D$75,4,FALSE),"")</f>
        <v>1</v>
      </c>
      <c r="J31" s="98">
        <f>_xlfn.IFNA(VLOOKUP(CONCATENATE($A31,"_",J$3),Spore_forming!$A$4:$D$75,4,FALSE),"")</f>
        <v>1</v>
      </c>
      <c r="K31" s="98">
        <f>_xlfn.IFNA(VLOOKUP(CONCATENATE($A31,"_",$K$3),Stickiness!$A$3:$D$75,4,FALSE),"")</f>
        <v>0</v>
      </c>
      <c r="L31" s="98">
        <f>_xlfn.IFNA(VLOOKUP(CONCATENATE($A31,"_",$L$3),Chain_forming!$A$3:$D$70,4,FALSE),"")</f>
        <v>1</v>
      </c>
      <c r="M31" s="98">
        <f>_xlfn.IFNA(VLOOKUP(CONCATENATE($A31,"_",M$3),Robust!$A$3:$D$70,4,FALSE),"")</f>
        <v>1</v>
      </c>
      <c r="N31" s="98">
        <f>_xlfn.IFNA(VLOOKUP(CONCATENATE($A31,"_",SpeciesTraits!L$3),Chain_forming!$A$3:$H$70,8,FALSE),"")</f>
        <v>0</v>
      </c>
      <c r="O31" s="98" t="str">
        <f>_xlfn.IFNA(VLOOKUP(CONCATENATE($A31,"_",SpeciesTraits!$L$3),Chain_forming!$A$3:$H$70,6,FALSE),"")</f>
        <v>Solitary</v>
      </c>
      <c r="P31" s="98" t="str">
        <f>_xlfn.IFNA(VLOOKUP(CONCATENATE($A31,"_",$C$1),Size!$B$3:$F$69,5,FALSE),"")</f>
        <v>prism-elliptic-base</v>
      </c>
    </row>
    <row r="32" spans="1:16">
      <c r="A32" t="str">
        <f>Species!A53</f>
        <v>Frag_sep</v>
      </c>
      <c r="B32" t="str">
        <f>Species!B53</f>
        <v>Fragilariopsis seperanda</v>
      </c>
      <c r="C32" s="98">
        <f>_xlfn.IFNA(VLOOKUP(CONCATENATE($A32,"_",$C$1),Size!$B$3:$M$75,6,FALSE),"")</f>
        <v>0</v>
      </c>
      <c r="D32" s="98">
        <f>_xlfn.IFNA(VLOOKUP(CONCATENATE($A32,"_",$C$1),Size!$B$3:$M$75,7,FALSE),"")</f>
        <v>0</v>
      </c>
      <c r="E32" s="98">
        <f>_xlfn.IFNA(VLOOKUP(CONCATENATE($A32,"_",$C$1),Size!$B$3:$M$75,8,FALSE),"")</f>
        <v>0</v>
      </c>
      <c r="F32" s="98">
        <f>_xlfn.IFNA(VLOOKUP(CONCATENATE($A32,"_",$C$1),Size!$B$3:$M$75,9,FALSE),"")</f>
        <v>0</v>
      </c>
      <c r="G32" s="98">
        <f>_xlfn.IFNA(VLOOKUP(CONCATENATE($A32,"_",$C$1),Size!$B$3:$M$75,10,FALSE),"")</f>
        <v>0</v>
      </c>
      <c r="H32" s="98">
        <f>_xlfn.IFNA(VLOOKUP(CONCATENATE($A32,"_",$C$1),Size!$B$3:$M$75,11,FALSE),"")</f>
        <v>0</v>
      </c>
      <c r="I32" s="98">
        <f>_xlfn.IFNA(VLOOKUP(CONCATENATE($A32,"_",I$3),Spikes!$A$4:$D$75,4,FALSE),"")</f>
        <v>1</v>
      </c>
      <c r="J32" s="98">
        <f>_xlfn.IFNA(VLOOKUP(CONCATENATE($A32,"_",J$3),Spore_forming!$A$4:$D$75,4,FALSE),"")</f>
        <v>1</v>
      </c>
      <c r="K32" s="98">
        <f>_xlfn.IFNA(VLOOKUP(CONCATENATE($A32,"_",$K$3),Stickiness!$A$3:$D$75,4,FALSE),"")</f>
        <v>0</v>
      </c>
      <c r="L32" s="98">
        <f>_xlfn.IFNA(VLOOKUP(CONCATENATE($A32,"_",$L$3),Chain_forming!$A$3:$D$70,4,FALSE),"")</f>
        <v>1</v>
      </c>
      <c r="M32" s="98">
        <f>_xlfn.IFNA(VLOOKUP(CONCATENATE($A32,"_",M$3),Robust!$A$3:$D$70,4,FALSE),"")</f>
        <v>1</v>
      </c>
      <c r="N32" s="98">
        <f>_xlfn.IFNA(VLOOKUP(CONCATENATE($A32,"_",SpeciesTraits!L$3),Chain_forming!$A$3:$H$70,8,FALSE),"")</f>
        <v>0</v>
      </c>
      <c r="O32" s="98" t="str">
        <f>_xlfn.IFNA(VLOOKUP(CONCATENATE($A32,"_",SpeciesTraits!$L$3),Chain_forming!$A$3:$H$70,6,FALSE),"")</f>
        <v>Solitary</v>
      </c>
      <c r="P32" s="98" t="str">
        <f>_xlfn.IFNA(VLOOKUP(CONCATENATE($A32,"_",$C$1),Size!$B$3:$F$69,5,FALSE),"")</f>
        <v>prism-elliptic-base</v>
      </c>
    </row>
    <row r="33" spans="1:16">
      <c r="A33" t="str">
        <f>Species!A7</f>
        <v>Frag_sp5</v>
      </c>
      <c r="B33" t="str">
        <f>Species!B7</f>
        <v>Fragilariopsis sp. (&lt; 5 µm)</v>
      </c>
      <c r="C33" s="98">
        <f>_xlfn.IFNA(VLOOKUP(CONCATENATE($A33,"_",$C$1),Size!$B$3:$M$75,6,FALSE),"")</f>
        <v>4</v>
      </c>
      <c r="D33" s="98">
        <f>_xlfn.IFNA(VLOOKUP(CONCATENATE($A33,"_",$C$1),Size!$B$3:$M$75,7,FALSE),"")</f>
        <v>20</v>
      </c>
      <c r="E33" s="98">
        <f>_xlfn.IFNA(VLOOKUP(CONCATENATE($A33,"_",$C$1),Size!$B$3:$M$75,8,FALSE),"")</f>
        <v>1.7380133224432248</v>
      </c>
      <c r="F33" s="98">
        <f>_xlfn.IFNA(VLOOKUP(CONCATENATE($A33,"_",$C$1),Size!$B$3:$M$75,9,FALSE),"")</f>
        <v>4.8274469230281483</v>
      </c>
      <c r="G33" s="98">
        <f>_xlfn.IFNA(VLOOKUP(CONCATENATE($A33,"_",$C$1),Size!$B$3:$M$75,10,FALSE),"")</f>
        <v>2.0714285714285716</v>
      </c>
      <c r="H33" s="98">
        <f>_xlfn.IFNA(VLOOKUP(CONCATENATE($A33,"_",$C$1),Size!$B$3:$M$75,11,FALSE),"")</f>
        <v>0.83333333333333326</v>
      </c>
      <c r="I33" s="98">
        <f>_xlfn.IFNA(VLOOKUP(CONCATENATE($A33,"_",I$3),Spikes!$A$4:$D$75,4,FALSE),"")</f>
        <v>1</v>
      </c>
      <c r="J33" s="98">
        <f>_xlfn.IFNA(VLOOKUP(CONCATENATE($A33,"_",J$3),Spore_forming!$A$4:$D$75,4,FALSE),"")</f>
        <v>1</v>
      </c>
      <c r="K33" s="98">
        <f>_xlfn.IFNA(VLOOKUP(CONCATENATE($A33,"_",$K$3),Stickiness!$A$3:$D$75,4,FALSE),"")</f>
        <v>0</v>
      </c>
      <c r="L33" s="98" t="str">
        <f>_xlfn.IFNA(VLOOKUP(CONCATENATE($A33,"_",$L$3),Chain_forming!$A$3:$D$70,4,FALSE),"")</f>
        <v>NA</v>
      </c>
      <c r="M33" s="98">
        <f>_xlfn.IFNA(VLOOKUP(CONCATENATE($A33,"_",M$3),Robust!$A$3:$D$70,4,FALSE),"")</f>
        <v>0.1</v>
      </c>
      <c r="N33" s="98" t="str">
        <f>_xlfn.IFNA(VLOOKUP(CONCATENATE($A33,"_",SpeciesTraits!L$3),Chain_forming!$A$3:$H$70,8,FALSE),"")</f>
        <v>NA</v>
      </c>
      <c r="O33" s="98" t="str">
        <f>_xlfn.IFNA(VLOOKUP(CONCATENATE($A33,"_",SpeciesTraits!$L$3),Chain_forming!$A$3:$H$70,6,FALSE),"")</f>
        <v>NA</v>
      </c>
      <c r="P33" s="98" t="str">
        <f>_xlfn.IFNA(VLOOKUP(CONCATENATE($A33,"_",$C$1),Size!$B$3:$F$69,5,FALSE),"")</f>
        <v>prism-elliptic-base</v>
      </c>
    </row>
    <row r="34" spans="1:16">
      <c r="A34" t="str">
        <f>Species!A67</f>
        <v>Has_trom</v>
      </c>
      <c r="B34" t="str">
        <f>Species!B67</f>
        <v>Haslea trompii</v>
      </c>
      <c r="C34" s="98">
        <f>_xlfn.IFNA(VLOOKUP(CONCATENATE($A34,"_",$C$1),Size!$B$3:$M$75,6,FALSE),"")</f>
        <v>70</v>
      </c>
      <c r="D34" s="98">
        <f>_xlfn.IFNA(VLOOKUP(CONCATENATE($A34,"_",$C$1),Size!$B$3:$M$75,7,FALSE),"")</f>
        <v>160</v>
      </c>
      <c r="E34" s="98">
        <f>_xlfn.IFNA(VLOOKUP(CONCATENATE($A34,"_",$C$1),Size!$B$3:$M$75,8,FALSE),"")</f>
        <v>14.452480187935951</v>
      </c>
      <c r="F34" s="98">
        <f>_xlfn.IFNA(VLOOKUP(CONCATENATE($A34,"_",$C$1),Size!$B$3:$M$75,9,FALSE),"")</f>
        <v>21.297356898332879</v>
      </c>
      <c r="G34" s="98">
        <f>_xlfn.IFNA(VLOOKUP(CONCATENATE($A34,"_",$C$1),Size!$B$3:$M$75,10,FALSE),"")</f>
        <v>0.31552795031055902</v>
      </c>
      <c r="H34" s="98">
        <f>_xlfn.IFNA(VLOOKUP(CONCATENATE($A34,"_",$C$1),Size!$B$3:$M$75,11,FALSE),"")</f>
        <v>0.24231366459627329</v>
      </c>
      <c r="I34" s="98">
        <f>_xlfn.IFNA(VLOOKUP(CONCATENATE($A34,"_",I$3),Spikes!$A$4:$D$75,4,FALSE),"")</f>
        <v>1</v>
      </c>
      <c r="J34" s="98">
        <f>_xlfn.IFNA(VLOOKUP(CONCATENATE($A34,"_",J$3),Spore_forming!$A$4:$D$75,4,FALSE),"")</f>
        <v>1</v>
      </c>
      <c r="K34" s="98">
        <f>_xlfn.IFNA(VLOOKUP(CONCATENATE($A34,"_",$K$3),Stickiness!$A$3:$D$75,4,FALSE),"")</f>
        <v>0</v>
      </c>
      <c r="L34" s="98">
        <f>_xlfn.IFNA(VLOOKUP(CONCATENATE($A34,"_",$L$3),Chain_forming!$A$3:$D$70,4,FALSE),"")</f>
        <v>1</v>
      </c>
      <c r="M34" s="98">
        <f>_xlfn.IFNA(VLOOKUP(CONCATENATE($A34,"_",M$3),Robust!$A$3:$D$70,4,FALSE),"")</f>
        <v>0.1</v>
      </c>
      <c r="N34" s="98">
        <f>_xlfn.IFNA(VLOOKUP(CONCATENATE($A34,"_",SpeciesTraits!L$3),Chain_forming!$A$3:$H$70,8,FALSE),"")</f>
        <v>0</v>
      </c>
      <c r="O34" s="98" t="str">
        <f>_xlfn.IFNA(VLOOKUP(CONCATENATE($A34,"_",SpeciesTraits!$L$3),Chain_forming!$A$3:$H$70,6,FALSE),"")</f>
        <v>Solitary</v>
      </c>
      <c r="P34" s="98" t="str">
        <f>_xlfn.IFNA(VLOOKUP(CONCATENATE($A34,"_",$C$1),Size!$B$3:$F$69,5,FALSE),"")</f>
        <v>prism-elliptic-base</v>
      </c>
    </row>
    <row r="35" spans="1:16">
      <c r="A35" t="str">
        <f>Species!A39</f>
        <v>Hem_cune</v>
      </c>
      <c r="B35" t="str">
        <f>Species!B39</f>
        <v>Hemidiscus cuneiformis</v>
      </c>
      <c r="C35" s="98">
        <f>_xlfn.IFNA(VLOOKUP(CONCATENATE($A35,"_",$C$1),Size!$B$3:$M$75,6,FALSE),"")</f>
        <v>58</v>
      </c>
      <c r="D35" s="98">
        <f>_xlfn.IFNA(VLOOKUP(CONCATENATE($A35,"_",$C$1),Size!$B$3:$M$75,7,FALSE),"")</f>
        <v>288</v>
      </c>
      <c r="E35" s="98">
        <f>_xlfn.IFNA(VLOOKUP(CONCATENATE($A35,"_",$C$1),Size!$B$3:$M$75,8,FALSE),"")</f>
        <v>15.484815962330538</v>
      </c>
      <c r="F35" s="98">
        <f>_xlfn.IFNA(VLOOKUP(CONCATENATE($A35,"_",$C$1),Size!$B$3:$M$75,9,FALSE),"")</f>
        <v>75.501232336029673</v>
      </c>
      <c r="G35" s="98">
        <f>_xlfn.IFNA(VLOOKUP(CONCATENATE($A35,"_",$C$1),Size!$B$3:$M$75,10,FALSE),"")</f>
        <v>0.27617268750701468</v>
      </c>
      <c r="H35" s="98">
        <f>_xlfn.IFNA(VLOOKUP(CONCATENATE($A35,"_",$C$1),Size!$B$3:$M$75,11,FALSE),"")</f>
        <v>1.6370853812835446E-2</v>
      </c>
      <c r="I35" s="98">
        <f>_xlfn.IFNA(VLOOKUP(CONCATENATE($A35,"_",I$3),Spikes!$A$4:$D$75,4,FALSE),"")</f>
        <v>1</v>
      </c>
      <c r="J35" s="98">
        <f>_xlfn.IFNA(VLOOKUP(CONCATENATE($A35,"_",J$3),Spore_forming!$A$4:$D$75,4,FALSE),"")</f>
        <v>1</v>
      </c>
      <c r="K35" s="98">
        <f>_xlfn.IFNA(VLOOKUP(CONCATENATE($A35,"_",$K$3),Stickiness!$A$3:$D$75,4,FALSE),"")</f>
        <v>0</v>
      </c>
      <c r="L35" s="98">
        <f>_xlfn.IFNA(VLOOKUP(CONCATENATE($A35,"_",$L$3),Chain_forming!$A$3:$D$70,4,FALSE),"")</f>
        <v>1</v>
      </c>
      <c r="M35" s="98">
        <f>_xlfn.IFNA(VLOOKUP(CONCATENATE($A35,"_",M$3),Robust!$A$3:$D$70,4,FALSE),"")</f>
        <v>1</v>
      </c>
      <c r="N35" s="98">
        <f>_xlfn.IFNA(VLOOKUP(CONCATENATE($A35,"_",SpeciesTraits!L$3),Chain_forming!$A$3:$H$70,8,FALSE),"")</f>
        <v>0</v>
      </c>
      <c r="O35" s="98" t="str">
        <f>_xlfn.IFNA(VLOOKUP(CONCATENATE($A35,"_",SpeciesTraits!$L$3),Chain_forming!$A$3:$H$70,6,FALSE),"")</f>
        <v>Solitary</v>
      </c>
      <c r="P35" s="98" t="str">
        <f>_xlfn.IFNA(VLOOKUP(CONCATENATE($A35,"_",$C$1),Size!$B$3:$F$69,5,FALSE),"")</f>
        <v>cymbelloid</v>
      </c>
    </row>
    <row r="36" spans="1:16">
      <c r="A36" t="str">
        <f>Species!A8</f>
        <v>Lennox_fav</v>
      </c>
      <c r="B36" t="str">
        <f>Species!B8</f>
        <v>Lennoxia faveolata</v>
      </c>
      <c r="C36" s="98">
        <f>_xlfn.IFNA(VLOOKUP(CONCATENATE($A36,"_",$C$1),Size!$B$3:$M$75,6,FALSE),"")</f>
        <v>0</v>
      </c>
      <c r="D36" s="98">
        <f>_xlfn.IFNA(VLOOKUP(CONCATENATE($A36,"_",$C$1),Size!$B$3:$M$75,7,FALSE),"")</f>
        <v>0</v>
      </c>
      <c r="E36" s="98">
        <f>_xlfn.IFNA(VLOOKUP(CONCATENATE($A36,"_",$C$1),Size!$B$3:$M$75,8,FALSE),"")</f>
        <v>0</v>
      </c>
      <c r="F36" s="98">
        <f>_xlfn.IFNA(VLOOKUP(CONCATENATE($A36,"_",$C$1),Size!$B$3:$M$75,9,FALSE),"")</f>
        <v>0</v>
      </c>
      <c r="G36" s="98">
        <f>_xlfn.IFNA(VLOOKUP(CONCATENATE($A36,"_",$C$1),Size!$B$3:$M$75,10,FALSE),"")</f>
        <v>0</v>
      </c>
      <c r="H36" s="98">
        <f>_xlfn.IFNA(VLOOKUP(CONCATENATE($A36,"_",$C$1),Size!$B$3:$M$75,11,FALSE),"")</f>
        <v>0</v>
      </c>
      <c r="I36" s="98">
        <f>_xlfn.IFNA(VLOOKUP(CONCATENATE($A36,"_",I$3),Spikes!$A$4:$D$75,4,FALSE),"")</f>
        <v>1</v>
      </c>
      <c r="J36" s="98">
        <f>_xlfn.IFNA(VLOOKUP(CONCATENATE($A36,"_",J$3),Spore_forming!$A$4:$D$75,4,FALSE),"")</f>
        <v>1</v>
      </c>
      <c r="K36" s="98">
        <f>_xlfn.IFNA(VLOOKUP(CONCATENATE($A36,"_",$K$3),Stickiness!$A$3:$D$75,4,FALSE),"")</f>
        <v>0</v>
      </c>
      <c r="L36" s="98" t="str">
        <f>_xlfn.IFNA(VLOOKUP(CONCATENATE($A36,"_",$L$3),Chain_forming!$A$3:$D$70,4,FALSE),"")</f>
        <v>NA</v>
      </c>
      <c r="M36" s="98">
        <f>_xlfn.IFNA(VLOOKUP(CONCATENATE($A36,"_",M$3),Robust!$A$3:$D$70,4,FALSE),"")</f>
        <v>0.1</v>
      </c>
      <c r="N36" s="98" t="str">
        <f>_xlfn.IFNA(VLOOKUP(CONCATENATE($A36,"_",SpeciesTraits!L$3),Chain_forming!$A$3:$H$70,8,FALSE),"")</f>
        <v>NA</v>
      </c>
      <c r="O36" s="98" t="str">
        <f>_xlfn.IFNA(VLOOKUP(CONCATENATE($A36,"_",SpeciesTraits!$L$3),Chain_forming!$A$3:$H$70,6,FALSE),"")</f>
        <v>NA</v>
      </c>
      <c r="P36" s="98" t="str">
        <f>_xlfn.IFNA(VLOOKUP(CONCATENATE($A36,"_",$C$1),Size!$B$3:$F$69,5,FALSE),"")</f>
        <v>NA</v>
      </c>
    </row>
    <row r="37" spans="1:16">
      <c r="A37" t="str">
        <f>Species!A59</f>
        <v>Mem_chall</v>
      </c>
      <c r="B37" t="str">
        <f>Species!B59</f>
        <v>Membraneis challengeri</v>
      </c>
      <c r="C37" s="98">
        <f>_xlfn.IFNA(VLOOKUP(CONCATENATE($A37,"_",$C$1),Size!$B$3:$M$75,6,FALSE),"")</f>
        <v>85</v>
      </c>
      <c r="D37" s="98">
        <f>_xlfn.IFNA(VLOOKUP(CONCATENATE($A37,"_",$C$1),Size!$B$3:$M$75,7,FALSE),"")</f>
        <v>270</v>
      </c>
      <c r="E37" s="98">
        <f>_xlfn.IFNA(VLOOKUP(CONCATENATE($A37,"_",$C$1),Size!$B$3:$M$75,8,FALSE),"")</f>
        <v>31.937459230215396</v>
      </c>
      <c r="F37" s="98">
        <f>_xlfn.IFNA(VLOOKUP(CONCATENATE($A37,"_",$C$1),Size!$B$3:$M$75,9,FALSE),"")</f>
        <v>69.285677593368817</v>
      </c>
      <c r="G37" s="98">
        <f>_xlfn.IFNA(VLOOKUP(CONCATENATE($A37,"_",$C$1),Size!$B$3:$M$75,10,FALSE),"")</f>
        <v>0.12235524346724991</v>
      </c>
      <c r="H37" s="98">
        <f>_xlfn.IFNA(VLOOKUP(CONCATENATE($A37,"_",$C$1),Size!$B$3:$M$75,11,FALSE),"")</f>
        <v>5.7026889903602239E-2</v>
      </c>
      <c r="I37" s="98">
        <f>_xlfn.IFNA(VLOOKUP(CONCATENATE($A37,"_",I$3),Spikes!$A$4:$D$75,4,FALSE),"")</f>
        <v>1</v>
      </c>
      <c r="J37" s="98">
        <f>_xlfn.IFNA(VLOOKUP(CONCATENATE($A37,"_",J$3),Spore_forming!$A$4:$D$75,4,FALSE),"")</f>
        <v>1</v>
      </c>
      <c r="K37" s="98">
        <f>_xlfn.IFNA(VLOOKUP(CONCATENATE($A37,"_",$K$3),Stickiness!$A$3:$D$75,4,FALSE),"")</f>
        <v>0</v>
      </c>
      <c r="L37" s="98">
        <f>_xlfn.IFNA(VLOOKUP(CONCATENATE($A37,"_",$L$3),Chain_forming!$A$3:$D$70,4,FALSE),"")</f>
        <v>2</v>
      </c>
      <c r="M37" s="98">
        <f>_xlfn.IFNA(VLOOKUP(CONCATENATE($A37,"_",M$3),Robust!$A$3:$D$70,4,FALSE),"")</f>
        <v>0.1</v>
      </c>
      <c r="N37" s="98">
        <f>_xlfn.IFNA(VLOOKUP(CONCATENATE($A37,"_",SpeciesTraits!L$3),Chain_forming!$A$3:$H$70,8,FALSE),"")</f>
        <v>1</v>
      </c>
      <c r="O37" s="98" t="str">
        <f>_xlfn.IFNA(VLOOKUP(CONCATENATE($A37,"_",SpeciesTraits!$L$3),Chain_forming!$A$3:$H$70,6,FALSE),"")</f>
        <v>Ribbon</v>
      </c>
      <c r="P37" s="98" t="str">
        <f>_xlfn.IFNA(VLOOKUP(CONCATENATE($A37,"_",$C$1),Size!$B$3:$F$69,5,FALSE),"")</f>
        <v>prism-elliptic-base</v>
      </c>
    </row>
    <row r="38" spans="1:16">
      <c r="A38" t="str">
        <f>Species!A30</f>
        <v>Nav_direc</v>
      </c>
      <c r="B38" t="str">
        <f>Species!B30</f>
        <v>Navicula directa</v>
      </c>
      <c r="C38" s="98">
        <f>_xlfn.IFNA(VLOOKUP(CONCATENATE($A38,"_",$C$1),Size!$B$3:$M$75,6,FALSE),"")</f>
        <v>52</v>
      </c>
      <c r="D38" s="98">
        <f>_xlfn.IFNA(VLOOKUP(CONCATENATE($A38,"_",$C$1),Size!$B$3:$M$75,7,FALSE),"")</f>
        <v>137</v>
      </c>
      <c r="E38" s="98">
        <f>_xlfn.IFNA(VLOOKUP(CONCATENATE($A38,"_",$C$1),Size!$B$3:$M$75,8,FALSE),"")</f>
        <v>8.1733020255631121</v>
      </c>
      <c r="F38" s="98">
        <f>_xlfn.IFNA(VLOOKUP(CONCATENATE($A38,"_",$C$1),Size!$B$3:$M$75,9,FALSE),"")</f>
        <v>13.510280235468276</v>
      </c>
      <c r="G38" s="98">
        <f>_xlfn.IFNA(VLOOKUP(CONCATENATE($A38,"_",$C$1),Size!$B$3:$M$75,10,FALSE),"")</f>
        <v>0.57417582417582413</v>
      </c>
      <c r="H38" s="98">
        <f>_xlfn.IFNA(VLOOKUP(CONCATENATE($A38,"_",$C$1),Size!$B$3:$M$75,11,FALSE),"")</f>
        <v>0.43126520681265207</v>
      </c>
      <c r="I38" s="98">
        <f>_xlfn.IFNA(VLOOKUP(CONCATENATE($A38,"_",I$3),Spikes!$A$4:$D$75,4,FALSE),"")</f>
        <v>1</v>
      </c>
      <c r="J38" s="98">
        <f>_xlfn.IFNA(VLOOKUP(CONCATENATE($A38,"_",J$3),Spore_forming!$A$4:$D$75,4,FALSE),"")</f>
        <v>1</v>
      </c>
      <c r="K38" s="98">
        <f>_xlfn.IFNA(VLOOKUP(CONCATENATE($A38,"_",$K$3),Stickiness!$A$3:$D$75,4,FALSE),"")</f>
        <v>0</v>
      </c>
      <c r="L38" s="98">
        <f>_xlfn.IFNA(VLOOKUP(CONCATENATE($A38,"_",$L$3),Chain_forming!$A$3:$D$70,4,FALSE),"")</f>
        <v>1</v>
      </c>
      <c r="M38" s="98">
        <f>_xlfn.IFNA(VLOOKUP(CONCATENATE($A38,"_",M$3),Robust!$A$3:$D$70,4,FALSE),"")</f>
        <v>1</v>
      </c>
      <c r="N38" s="98">
        <f>_xlfn.IFNA(VLOOKUP(CONCATENATE($A38,"_",SpeciesTraits!L$3),Chain_forming!$A$3:$H$70,8,FALSE),"")</f>
        <v>0</v>
      </c>
      <c r="O38" s="98" t="str">
        <f>_xlfn.IFNA(VLOOKUP(CONCATENATE($A38,"_",SpeciesTraits!$L$3),Chain_forming!$A$3:$H$70,6,FALSE),"")</f>
        <v>Solitary</v>
      </c>
      <c r="P38" s="98" t="str">
        <f>_xlfn.IFNA(VLOOKUP(CONCATENATE($A38,"_",$C$1),Size!$B$3:$F$69,5,FALSE),"")</f>
        <v>prism-elliptic-base</v>
      </c>
    </row>
    <row r="39" spans="1:16">
      <c r="A39" t="str">
        <f>Species!A21</f>
        <v>Neo_sem</v>
      </c>
      <c r="B39" t="str">
        <f>Species!B21</f>
        <v>Neodenticula seminae</v>
      </c>
      <c r="C39" s="98">
        <f>_xlfn.IFNA(VLOOKUP(CONCATENATE($A39,"_",$C$1),Size!$B$3:$M$75,6,FALSE),"")</f>
        <v>5</v>
      </c>
      <c r="D39" s="98">
        <f>_xlfn.IFNA(VLOOKUP(CONCATENATE($A39,"_",$C$1),Size!$B$3:$M$75,7,FALSE),"")</f>
        <v>60</v>
      </c>
      <c r="E39" s="98">
        <f>_xlfn.IFNA(VLOOKUP(CONCATENATE($A39,"_",$C$1),Size!$B$3:$M$75,8,FALSE),"")</f>
        <v>2.4662120743304703</v>
      </c>
      <c r="F39" s="98">
        <f>_xlfn.IFNA(VLOOKUP(CONCATENATE($A39,"_",$C$1),Size!$B$3:$M$75,9,FALSE),"")</f>
        <v>13.628404446241044</v>
      </c>
      <c r="G39" s="98">
        <f>_xlfn.IFNA(VLOOKUP(CONCATENATE($A39,"_",$C$1),Size!$B$3:$M$75,10,FALSE),"")</f>
        <v>1.4</v>
      </c>
      <c r="H39" s="98">
        <f>_xlfn.IFNA(VLOOKUP(CONCATENATE($A39,"_",$C$1),Size!$B$3:$M$75,11,FALSE),"")</f>
        <v>0.3</v>
      </c>
      <c r="I39" s="98">
        <f>_xlfn.IFNA(VLOOKUP(CONCATENATE($A39,"_",I$3),Spikes!$A$4:$D$75,4,FALSE),"")</f>
        <v>1</v>
      </c>
      <c r="J39" s="98">
        <f>_xlfn.IFNA(VLOOKUP(CONCATENATE($A39,"_",J$3),Spore_forming!$A$4:$D$75,4,FALSE),"")</f>
        <v>1</v>
      </c>
      <c r="K39" s="98">
        <f>_xlfn.IFNA(VLOOKUP(CONCATENATE($A39,"_",$K$3),Stickiness!$A$3:$D$75,4,FALSE),"")</f>
        <v>1</v>
      </c>
      <c r="L39" s="98">
        <f>_xlfn.IFNA(VLOOKUP(CONCATENATE($A39,"_",$L$3),Chain_forming!$A$3:$D$70,4,FALSE),"")</f>
        <v>2</v>
      </c>
      <c r="M39" s="98">
        <f>_xlfn.IFNA(VLOOKUP(CONCATENATE($A39,"_",M$3),Robust!$A$3:$D$70,4,FALSE),"")</f>
        <v>1</v>
      </c>
      <c r="N39" s="98">
        <f>_xlfn.IFNA(VLOOKUP(CONCATENATE($A39,"_",SpeciesTraits!L$3),Chain_forming!$A$3:$H$70,8,FALSE),"")</f>
        <v>1</v>
      </c>
      <c r="O39" s="98" t="str">
        <f>_xlfn.IFNA(VLOOKUP(CONCATENATE($A39,"_",SpeciesTraits!$L$3),Chain_forming!$A$3:$H$70,6,FALSE),"")</f>
        <v>Ribbon</v>
      </c>
      <c r="P39" s="98" t="str">
        <f>_xlfn.IFNA(VLOOKUP(CONCATENATE($A39,"_",$C$1),Size!$B$3:$F$69,5,FALSE),"")</f>
        <v>prism-elliptic-base</v>
      </c>
    </row>
    <row r="40" spans="1:16">
      <c r="A40" t="str">
        <f>Species!A38</f>
        <v>Nitz_bicap</v>
      </c>
      <c r="B40" t="str">
        <f>Species!B38</f>
        <v>Nitzschia bicapitata</v>
      </c>
      <c r="C40" s="98">
        <f>_xlfn.IFNA(VLOOKUP(CONCATENATE($A40,"_",$C$1),Size!$B$3:$M$75,6,FALSE),"")</f>
        <v>6</v>
      </c>
      <c r="D40" s="98">
        <f>_xlfn.IFNA(VLOOKUP(CONCATENATE($A40,"_",$C$1),Size!$B$3:$M$75,7,FALSE),"")</f>
        <v>30</v>
      </c>
      <c r="E40" s="98">
        <f>_xlfn.IFNA(VLOOKUP(CONCATENATE($A40,"_",$C$1),Size!$B$3:$M$75,8,FALSE),"")</f>
        <v>1.9275732104070491</v>
      </c>
      <c r="F40" s="98">
        <f>_xlfn.IFNA(VLOOKUP(CONCATENATE($A40,"_",$C$1),Size!$B$3:$M$75,9,FALSE),"")</f>
        <v>4.2868844430600559</v>
      </c>
      <c r="G40" s="98">
        <f>_xlfn.IFNA(VLOOKUP(CONCATENATE($A40,"_",$C$1),Size!$B$3:$M$75,10,FALSE),"")</f>
        <v>0.71666666666666667</v>
      </c>
      <c r="H40" s="98">
        <f>_xlfn.IFNA(VLOOKUP(CONCATENATE($A40,"_",$C$1),Size!$B$3:$M$75,11,FALSE),"")</f>
        <v>0.59242424242424241</v>
      </c>
      <c r="I40" s="98">
        <f>_xlfn.IFNA(VLOOKUP(CONCATENATE($A40,"_",I$3),Spikes!$A$4:$D$75,4,FALSE),"")</f>
        <v>1</v>
      </c>
      <c r="J40" s="98">
        <f>_xlfn.IFNA(VLOOKUP(CONCATENATE($A40,"_",J$3),Spore_forming!$A$4:$D$75,4,FALSE),"")</f>
        <v>1</v>
      </c>
      <c r="K40" s="98">
        <f>_xlfn.IFNA(VLOOKUP(CONCATENATE($A40,"_",$K$3),Stickiness!$A$3:$D$75,4,FALSE),"")</f>
        <v>0</v>
      </c>
      <c r="L40" s="98">
        <f>_xlfn.IFNA(VLOOKUP(CONCATENATE($A40,"_",$L$3),Chain_forming!$A$3:$D$70,4,FALSE),"")</f>
        <v>1</v>
      </c>
      <c r="M40" s="98">
        <f>_xlfn.IFNA(VLOOKUP(CONCATENATE($A40,"_",M$3),Robust!$A$3:$D$70,4,FALSE),"")</f>
        <v>1</v>
      </c>
      <c r="N40" s="98">
        <f>_xlfn.IFNA(VLOOKUP(CONCATENATE($A40,"_",SpeciesTraits!L$3),Chain_forming!$A$3:$H$70,8,FALSE),"")</f>
        <v>0</v>
      </c>
      <c r="O40" s="98" t="str">
        <f>_xlfn.IFNA(VLOOKUP(CONCATENATE($A40,"_",SpeciesTraits!$L$3),Chain_forming!$A$3:$H$70,6,FALSE),"")</f>
        <v>Solitary</v>
      </c>
      <c r="P40" s="98" t="str">
        <f>_xlfn.IFNA(VLOOKUP(CONCATENATE($A40,"_",$C$1),Size!$B$3:$F$69,5,FALSE),"")</f>
        <v>prism-parallelogram-base</v>
      </c>
    </row>
    <row r="41" spans="1:16">
      <c r="A41" t="str">
        <f>Species!A17</f>
        <v>Nitz_spp</v>
      </c>
      <c r="B41" t="str">
        <f>Species!B17</f>
        <v>Nitzschia spp.</v>
      </c>
      <c r="C41" s="98">
        <f>_xlfn.IFNA(VLOOKUP(CONCATENATE($A41,"_",$C$1),Size!$B$3:$M$75,6,FALSE),"")</f>
        <v>6</v>
      </c>
      <c r="D41" s="98">
        <f>_xlfn.IFNA(VLOOKUP(CONCATENATE($A41,"_",$C$1),Size!$B$3:$M$75,7,FALSE),"")</f>
        <v>419</v>
      </c>
      <c r="E41" s="98">
        <f>_xlfn.IFNA(VLOOKUP(CONCATENATE($A41,"_",$C$1),Size!$B$3:$M$75,8,FALSE),"")</f>
        <v>1.172388962695158</v>
      </c>
      <c r="F41" s="98">
        <f>_xlfn.IFNA(VLOOKUP(CONCATENATE($A41,"_",$C$1),Size!$B$3:$M$75,9,FALSE),"")</f>
        <v>47.641310845320049</v>
      </c>
      <c r="G41" s="98">
        <f>_xlfn.IFNA(VLOOKUP(CONCATENATE($A41,"_",$C$1),Size!$B$3:$M$75,10,FALSE),"")</f>
        <v>1.6769254688014716</v>
      </c>
      <c r="H41" s="98">
        <f>_xlfn.IFNA(VLOOKUP(CONCATENATE($A41,"_",$C$1),Size!$B$3:$M$75,11,FALSE),"")</f>
        <v>5.3488064807594903E-2</v>
      </c>
      <c r="I41" s="98">
        <f>_xlfn.IFNA(VLOOKUP(CONCATENATE($A41,"_",I$3),Spikes!$A$4:$D$75,4,FALSE),"")</f>
        <v>1</v>
      </c>
      <c r="J41" s="98">
        <f>_xlfn.IFNA(VLOOKUP(CONCATENATE($A41,"_",J$3),Spore_forming!$A$4:$D$75,4,FALSE),"")</f>
        <v>1</v>
      </c>
      <c r="K41" s="98">
        <f>_xlfn.IFNA(VLOOKUP(CONCATENATE($A41,"_",$K$3),Stickiness!$A$3:$D$75,4,FALSE),"")</f>
        <v>0</v>
      </c>
      <c r="L41" s="98" t="str">
        <f>_xlfn.IFNA(VLOOKUP(CONCATENATE($A41,"_",$L$3),Chain_forming!$A$3:$D$70,4,FALSE),"")</f>
        <v>NA</v>
      </c>
      <c r="M41" s="98">
        <f>_xlfn.IFNA(VLOOKUP(CONCATENATE($A41,"_",M$3),Robust!$A$3:$D$70,4,FALSE),"")</f>
        <v>0.1</v>
      </c>
      <c r="N41" s="98" t="str">
        <f>_xlfn.IFNA(VLOOKUP(CONCATENATE($A41,"_",SpeciesTraits!L$3),Chain_forming!$A$3:$H$70,8,FALSE),"")</f>
        <v>NA</v>
      </c>
      <c r="O41" s="98" t="str">
        <f>_xlfn.IFNA(VLOOKUP(CONCATENATE($A41,"_",SpeciesTraits!$L$3),Chain_forming!$A$3:$H$70,6,FALSE),"")</f>
        <v>NA</v>
      </c>
      <c r="P41" s="98" t="str">
        <f>_xlfn.IFNA(VLOOKUP(CONCATENATE($A41,"_",$C$1),Size!$B$3:$F$69,5,FALSE),"")</f>
        <v>prism-parallelogram-base</v>
      </c>
    </row>
    <row r="42" spans="1:16">
      <c r="A42" t="str">
        <f>Species!A60</f>
        <v>Odon_weiss</v>
      </c>
      <c r="B42" t="str">
        <f>Species!B60</f>
        <v>Odontella weissflogii</v>
      </c>
      <c r="C42" s="98">
        <f>_xlfn.IFNA(VLOOKUP(CONCATENATE($A42,"_",$C$1),Size!$B$3:$M$75,6,FALSE),"")</f>
        <v>60</v>
      </c>
      <c r="D42" s="98">
        <f>_xlfn.IFNA(VLOOKUP(CONCATENATE($A42,"_",$C$1),Size!$B$3:$M$75,7,FALSE),"")</f>
        <v>84</v>
      </c>
      <c r="E42" s="98">
        <f>_xlfn.IFNA(VLOOKUP(CONCATENATE($A42,"_",$C$1),Size!$B$3:$M$75,8,FALSE),"")</f>
        <v>23.052965521428867</v>
      </c>
      <c r="F42" s="98">
        <f>_xlfn.IFNA(VLOOKUP(CONCATENATE($A42,"_",$C$1),Size!$B$3:$M$75,9,FALSE),"")</f>
        <v>44.974800706239819</v>
      </c>
      <c r="G42" s="98">
        <f>_xlfn.IFNA(VLOOKUP(CONCATENATE($A42,"_",$C$1),Size!$B$3:$M$75,10,FALSE),"")</f>
        <v>0.15454545454545457</v>
      </c>
      <c r="H42" s="98">
        <f>_xlfn.IFNA(VLOOKUP(CONCATENATE($A42,"_",$C$1),Size!$B$3:$M$75,11,FALSE),"")</f>
        <v>7.6441102756892226E-2</v>
      </c>
      <c r="I42" s="98">
        <f>_xlfn.IFNA(VLOOKUP(CONCATENATE($A42,"_",I$3),Spikes!$A$4:$D$75,4,FALSE),"")</f>
        <v>1</v>
      </c>
      <c r="J42" s="98">
        <f>_xlfn.IFNA(VLOOKUP(CONCATENATE($A42,"_",J$3),Spore_forming!$A$4:$D$75,4,FALSE),"")</f>
        <v>2</v>
      </c>
      <c r="K42" s="98">
        <f>_xlfn.IFNA(VLOOKUP(CONCATENATE($A42,"_",$K$3),Stickiness!$A$3:$D$75,4,FALSE),"")</f>
        <v>0</v>
      </c>
      <c r="L42" s="98">
        <f>_xlfn.IFNA(VLOOKUP(CONCATENATE($A42,"_",$L$3),Chain_forming!$A$3:$D$70,4,FALSE),"")</f>
        <v>2</v>
      </c>
      <c r="M42" s="98">
        <f>_xlfn.IFNA(VLOOKUP(CONCATENATE($A42,"_",M$3),Robust!$A$3:$D$70,4,FALSE),"")</f>
        <v>0.1</v>
      </c>
      <c r="N42" s="98">
        <f>_xlfn.IFNA(VLOOKUP(CONCATENATE($A42,"_",SpeciesTraits!L$3),Chain_forming!$A$3:$H$70,8,FALSE),"")</f>
        <v>0.5</v>
      </c>
      <c r="O42" s="98" t="str">
        <f>_xlfn.IFNA(VLOOKUP(CONCATENATE($A42,"_",SpeciesTraits!$L$3),Chain_forming!$A$3:$H$70,6,FALSE),"")</f>
        <v>Tube</v>
      </c>
      <c r="P42" s="98" t="str">
        <f>_xlfn.IFNA(VLOOKUP(CONCATENATE($A42,"_",$C$1),Size!$B$3:$F$69,5,FALSE),"")</f>
        <v>prism-elliptic-base</v>
      </c>
    </row>
    <row r="43" spans="1:16">
      <c r="A43" t="str">
        <f>Species!A6</f>
        <v>Phae_antarc</v>
      </c>
      <c r="B43" t="str">
        <f>Species!B6</f>
        <v>Phaeocystis antarctica</v>
      </c>
      <c r="C43" s="98">
        <f>_xlfn.IFNA(VLOOKUP(CONCATENATE($A43,"_",$C$1),Size!$B$3:$M$75,6,FALSE),"")</f>
        <v>0</v>
      </c>
      <c r="D43" s="98">
        <f>_xlfn.IFNA(VLOOKUP(CONCATENATE($A43,"_",$C$1),Size!$B$3:$M$75,7,FALSE),"")</f>
        <v>0</v>
      </c>
      <c r="E43" s="98">
        <f>_xlfn.IFNA(VLOOKUP(CONCATENATE($A43,"_",$C$1),Size!$B$3:$M$75,8,FALSE),"")</f>
        <v>0</v>
      </c>
      <c r="F43" s="98">
        <f>_xlfn.IFNA(VLOOKUP(CONCATENATE($A43,"_",$C$1),Size!$B$3:$M$75,9,FALSE),"")</f>
        <v>0</v>
      </c>
      <c r="G43" s="98">
        <f>_xlfn.IFNA(VLOOKUP(CONCATENATE($A43,"_",$C$1),Size!$B$3:$M$75,10,FALSE),"")</f>
        <v>0</v>
      </c>
      <c r="H43" s="98">
        <f>_xlfn.IFNA(VLOOKUP(CONCATENATE($A43,"_",$C$1),Size!$B$3:$M$75,11,FALSE),"")</f>
        <v>0</v>
      </c>
      <c r="I43" s="98">
        <f>_xlfn.IFNA(VLOOKUP(CONCATENATE($A43,"_",I$3),Spikes!$A$4:$D$75,4,FALSE),"")</f>
        <v>1</v>
      </c>
      <c r="J43" s="98">
        <f>_xlfn.IFNA(VLOOKUP(CONCATENATE($A43,"_",J$3),Spore_forming!$A$4:$D$75,4,FALSE),"")</f>
        <v>1</v>
      </c>
      <c r="K43" s="98">
        <f>_xlfn.IFNA(VLOOKUP(CONCATENATE($A43,"_",$K$3),Stickiness!$A$3:$D$75,4,FALSE),"")</f>
        <v>1</v>
      </c>
      <c r="L43" s="98">
        <f>_xlfn.IFNA(VLOOKUP(CONCATENATE($A43,"_",$L$3),Chain_forming!$A$3:$D$70,4,FALSE),"")</f>
        <v>2</v>
      </c>
      <c r="M43" s="98">
        <f>_xlfn.IFNA(VLOOKUP(CONCATENATE($A43,"_",M$3),Robust!$A$3:$D$70,4,FALSE),"")</f>
        <v>0.1</v>
      </c>
      <c r="N43" s="98">
        <f>_xlfn.IFNA(VLOOKUP(CONCATENATE($A43,"_",SpeciesTraits!L$3),Chain_forming!$A$3:$H$70,8,FALSE),"")</f>
        <v>1</v>
      </c>
      <c r="O43" s="98" t="str">
        <f>_xlfn.IFNA(VLOOKUP(CONCATENATE($A43,"_",SpeciesTraits!$L$3),Chain_forming!$A$3:$H$70,6,FALSE),"")</f>
        <v>Cloud</v>
      </c>
      <c r="P43" s="98" t="str">
        <f>_xlfn.IFNA(VLOOKUP(CONCATENATE($A43,"_",$C$1),Size!$B$3:$F$69,5,FALSE),"")</f>
        <v>sphere</v>
      </c>
    </row>
    <row r="44" spans="1:16">
      <c r="A44" t="str">
        <f>Species!A15</f>
        <v>Podo_elegans</v>
      </c>
      <c r="B44" t="str">
        <f>Species!B15</f>
        <v>Podosira elegans</v>
      </c>
      <c r="C44" s="98">
        <f>_xlfn.IFNA(VLOOKUP(CONCATENATE($A44,"_",$C$1),Size!$B$3:$M$75,6,FALSE),"")</f>
        <v>12</v>
      </c>
      <c r="D44" s="98">
        <f>_xlfn.IFNA(VLOOKUP(CONCATENATE($A44,"_",$C$1),Size!$B$3:$M$75,7,FALSE),"")</f>
        <v>130</v>
      </c>
      <c r="E44" s="98">
        <f>_xlfn.IFNA(VLOOKUP(CONCATENATE($A44,"_",$C$1),Size!$B$3:$M$75,8,FALSE),"")</f>
        <v>5.4569644153055279</v>
      </c>
      <c r="F44" s="98">
        <f>_xlfn.IFNA(VLOOKUP(CONCATENATE($A44,"_",$C$1),Size!$B$3:$M$75,9,FALSE),"")</f>
        <v>56.592559798147512</v>
      </c>
      <c r="G44" s="98">
        <f>_xlfn.IFNA(VLOOKUP(CONCATENATE($A44,"_",$C$1),Size!$B$3:$M$75,10,FALSE),"")</f>
        <v>0.55384615384615377</v>
      </c>
      <c r="H44" s="98">
        <f>_xlfn.IFNA(VLOOKUP(CONCATENATE($A44,"_",$C$1),Size!$B$3:$M$75,11,FALSE),"")</f>
        <v>5.3793103448275863E-2</v>
      </c>
      <c r="I44" s="98">
        <f>_xlfn.IFNA(VLOOKUP(CONCATENATE($A44,"_",I$3),Spikes!$A$4:$D$75,4,FALSE),"")</f>
        <v>1</v>
      </c>
      <c r="J44" s="98">
        <f>_xlfn.IFNA(VLOOKUP(CONCATENATE($A44,"_",J$3),Spore_forming!$A$4:$D$75,4,FALSE),"")</f>
        <v>1</v>
      </c>
      <c r="K44" s="98">
        <f>_xlfn.IFNA(VLOOKUP(CONCATENATE($A44,"_",$K$3),Stickiness!$A$3:$D$75,4,FALSE),"")</f>
        <v>0</v>
      </c>
      <c r="L44" s="98">
        <f>_xlfn.IFNA(VLOOKUP(CONCATENATE($A44,"_",$L$3),Chain_forming!$A$3:$D$70,4,FALSE),"")</f>
        <v>1</v>
      </c>
      <c r="M44" s="98">
        <f>_xlfn.IFNA(VLOOKUP(CONCATENATE($A44,"_",M$3),Robust!$A$3:$D$70,4,FALSE),"")</f>
        <v>1</v>
      </c>
      <c r="N44" s="98">
        <f>_xlfn.IFNA(VLOOKUP(CONCATENATE($A44,"_",SpeciesTraits!L$3),Chain_forming!$A$3:$H$70,8,FALSE),"")</f>
        <v>0</v>
      </c>
      <c r="O44" s="98" t="str">
        <f>_xlfn.IFNA(VLOOKUP(CONCATENATE($A44,"_",SpeciesTraits!$L$3),Chain_forming!$A$3:$H$70,6,FALSE),"")</f>
        <v>Solitary</v>
      </c>
      <c r="P44" s="98" t="str">
        <f>_xlfn.IFNA(VLOOKUP(CONCATENATE($A44,"_",$C$1),Size!$B$3:$F$69,5,FALSE),"")</f>
        <v>cylinder-dome-end</v>
      </c>
    </row>
    <row r="45" spans="1:16">
      <c r="A45" t="str">
        <f>Species!A4</f>
        <v>Prob_inerm</v>
      </c>
      <c r="B45" t="str">
        <f>Species!B4</f>
        <v>Proboscia inermis</v>
      </c>
      <c r="C45" s="98">
        <f>_xlfn.IFNA(VLOOKUP(CONCATENATE($A45,"_",$C$1),Size!$B$3:$M$75,6,FALSE),"")</f>
        <v>100</v>
      </c>
      <c r="D45" s="98">
        <f>_xlfn.IFNA(VLOOKUP(CONCATENATE($A45,"_",$C$1),Size!$B$3:$M$75,7,FALSE),"")</f>
        <v>1000</v>
      </c>
      <c r="E45" s="98">
        <f>_xlfn.IFNA(VLOOKUP(CONCATENATE($A45,"_",$C$1),Size!$B$3:$M$75,8,FALSE),"")</f>
        <v>13.924766500838336</v>
      </c>
      <c r="F45" s="98">
        <f>_xlfn.IFNA(VLOOKUP(CONCATENATE($A45,"_",$C$1),Size!$B$3:$M$75,9,FALSE),"")</f>
        <v>31.644336365441742</v>
      </c>
      <c r="G45" s="98">
        <f>_xlfn.IFNA(VLOOKUP(CONCATENATE($A45,"_",$C$1),Size!$B$3:$M$75,10,FALSE),"")</f>
        <v>0.35333333333333333</v>
      </c>
      <c r="H45" s="98">
        <f>_xlfn.IFNA(VLOOKUP(CONCATENATE($A45,"_",$C$1),Size!$B$3:$M$75,11,FALSE),"")</f>
        <v>0.30969230769230777</v>
      </c>
      <c r="I45" s="98">
        <f>_xlfn.IFNA(VLOOKUP(CONCATENATE($A45,"_",I$3),Spikes!$A$4:$D$75,4,FALSE),"")</f>
        <v>1</v>
      </c>
      <c r="J45" s="98">
        <f>_xlfn.IFNA(VLOOKUP(CONCATENATE($A45,"_",J$3),Spore_forming!$A$4:$D$75,4,FALSE),"")</f>
        <v>1</v>
      </c>
      <c r="K45" s="98">
        <f>_xlfn.IFNA(VLOOKUP(CONCATENATE($A45,"_",$K$3),Stickiness!$A$3:$D$75,4,FALSE),"")</f>
        <v>0</v>
      </c>
      <c r="L45" s="98">
        <f>_xlfn.IFNA(VLOOKUP(CONCATENATE($A45,"_",$L$3),Chain_forming!$A$3:$D$70,4,FALSE),"")</f>
        <v>2</v>
      </c>
      <c r="M45" s="98">
        <f>_xlfn.IFNA(VLOOKUP(CONCATENATE($A45,"_",M$3),Robust!$A$3:$D$70,4,FALSE),"")</f>
        <v>0.1</v>
      </c>
      <c r="N45" s="98">
        <f>_xlfn.IFNA(VLOOKUP(CONCATENATE($A45,"_",SpeciesTraits!L$3),Chain_forming!$A$3:$H$70,8,FALSE),"")</f>
        <v>1</v>
      </c>
      <c r="O45" s="98" t="str">
        <f>_xlfn.IFNA(VLOOKUP(CONCATENATE($A45,"_",SpeciesTraits!$L$3),Chain_forming!$A$3:$H$70,6,FALSE),"")</f>
        <v>Tube</v>
      </c>
      <c r="P45" s="98" t="str">
        <f>_xlfn.IFNA(VLOOKUP(CONCATENATE($A45,"_",$C$1),Size!$B$3:$F$69,5,FALSE),"")</f>
        <v>cylinder</v>
      </c>
    </row>
    <row r="46" spans="1:16">
      <c r="A46" t="str">
        <f>Species!A32</f>
        <v>Pseudo_heim</v>
      </c>
      <c r="B46" t="str">
        <f>Species!B32</f>
        <v>Pseudonitzschia heimii</v>
      </c>
      <c r="C46" s="98">
        <f>_xlfn.IFNA(VLOOKUP(CONCATENATE($A46,"_",$C$1),Size!$B$3:$M$75,6,FALSE),"")</f>
        <v>67</v>
      </c>
      <c r="D46" s="98">
        <f>_xlfn.IFNA(VLOOKUP(CONCATENATE($A46,"_",$C$1),Size!$B$3:$M$75,7,FALSE),"")</f>
        <v>120</v>
      </c>
      <c r="E46" s="98">
        <f>_xlfn.IFNA(VLOOKUP(CONCATENATE($A46,"_",$C$1),Size!$B$3:$M$75,8,FALSE),"")</f>
        <v>5.0391667158460063</v>
      </c>
      <c r="F46" s="98">
        <f>_xlfn.IFNA(VLOOKUP(CONCATENATE($A46,"_",$C$1),Size!$B$3:$M$75,9,FALSE),"")</f>
        <v>8.0190277054318528</v>
      </c>
      <c r="G46" s="98">
        <f>_xlfn.IFNA(VLOOKUP(CONCATENATE($A46,"_",$C$1),Size!$B$3:$M$75,10,FALSE),"")</f>
        <v>0.62522256861604353</v>
      </c>
      <c r="H46" s="98">
        <f>_xlfn.IFNA(VLOOKUP(CONCATENATE($A46,"_",$C$1),Size!$B$3:$M$75,11,FALSE),"")</f>
        <v>0.41677076831041993</v>
      </c>
      <c r="I46" s="98">
        <f>_xlfn.IFNA(VLOOKUP(CONCATENATE($A46,"_",I$3),Spikes!$A$4:$D$75,4,FALSE),"")</f>
        <v>1</v>
      </c>
      <c r="J46" s="98">
        <f>_xlfn.IFNA(VLOOKUP(CONCATENATE($A46,"_",J$3),Spore_forming!$A$4:$D$75,4,FALSE),"")</f>
        <v>1</v>
      </c>
      <c r="K46" s="98">
        <f>_xlfn.IFNA(VLOOKUP(CONCATENATE($A46,"_",$K$3),Stickiness!$A$3:$D$75,4,FALSE),"")</f>
        <v>0</v>
      </c>
      <c r="L46" s="98">
        <f>_xlfn.IFNA(VLOOKUP(CONCATENATE($A46,"_",$L$3),Chain_forming!$A$3:$D$70,4,FALSE),"")</f>
        <v>2</v>
      </c>
      <c r="M46" s="98">
        <f>_xlfn.IFNA(VLOOKUP(CONCATENATE($A46,"_",M$3),Robust!$A$3:$D$70,4,FALSE),"")</f>
        <v>0.5</v>
      </c>
      <c r="N46" s="98">
        <f>_xlfn.IFNA(VLOOKUP(CONCATENATE($A46,"_",SpeciesTraits!L$3),Chain_forming!$A$3:$H$70,8,FALSE),"")</f>
        <v>1</v>
      </c>
      <c r="O46" s="98" t="str">
        <f>_xlfn.IFNA(VLOOKUP(CONCATENATE($A46,"_",SpeciesTraits!$L$3),Chain_forming!$A$3:$H$70,6,FALSE),"")</f>
        <v>Needle</v>
      </c>
      <c r="P46" s="98" t="str">
        <f>_xlfn.IFNA(VLOOKUP(CONCATENATE($A46,"_",$C$1),Size!$B$3:$F$69,5,FALSE),"")</f>
        <v>prism-parallelogram-base</v>
      </c>
    </row>
    <row r="47" spans="1:16">
      <c r="A47" t="str">
        <f>Species!A27</f>
        <v>Pseudo_line</v>
      </c>
      <c r="B47" t="str">
        <f>Species!B27</f>
        <v>Pseudonitzschia lineola</v>
      </c>
      <c r="C47" s="98">
        <f>_xlfn.IFNA(VLOOKUP(CONCATENATE($A47,"_",$C$1),Size!$B$3:$M$75,6,FALSE),"")</f>
        <v>56</v>
      </c>
      <c r="D47" s="98">
        <f>_xlfn.IFNA(VLOOKUP(CONCATENATE($A47,"_",$C$1),Size!$B$3:$M$75,7,FALSE),"")</f>
        <v>112</v>
      </c>
      <c r="E47" s="98">
        <f>_xlfn.IFNA(VLOOKUP(CONCATENATE($A47,"_",$C$1),Size!$B$3:$M$75,8,FALSE),"")</f>
        <v>2.7874353970163774</v>
      </c>
      <c r="F47" s="98">
        <f>_xlfn.IFNA(VLOOKUP(CONCATENATE($A47,"_",$C$1),Size!$B$3:$M$75,9,FALSE),"")</f>
        <v>4.601954445970895</v>
      </c>
      <c r="G47" s="98">
        <f>_xlfn.IFNA(VLOOKUP(CONCATENATE($A47,"_",$C$1),Size!$B$3:$M$75,10,FALSE),"")</f>
        <v>1.3890323467425676</v>
      </c>
      <c r="H47" s="98">
        <f>_xlfn.IFNA(VLOOKUP(CONCATENATE($A47,"_",$C$1),Size!$B$3:$M$75,11,FALSE),"")</f>
        <v>0.92597972869686751</v>
      </c>
      <c r="I47" s="98">
        <f>_xlfn.IFNA(VLOOKUP(CONCATENATE($A47,"_",I$3),Spikes!$A$4:$D$75,4,FALSE),"")</f>
        <v>1</v>
      </c>
      <c r="J47" s="98">
        <f>_xlfn.IFNA(VLOOKUP(CONCATENATE($A47,"_",J$3),Spore_forming!$A$4:$D$75,4,FALSE),"")</f>
        <v>1</v>
      </c>
      <c r="K47" s="98">
        <f>_xlfn.IFNA(VLOOKUP(CONCATENATE($A47,"_",$K$3),Stickiness!$A$3:$D$75,4,FALSE),"")</f>
        <v>0</v>
      </c>
      <c r="L47" s="98">
        <f>_xlfn.IFNA(VLOOKUP(CONCATENATE($A47,"_",$L$3),Chain_forming!$A$3:$D$70,4,FALSE),"")</f>
        <v>2</v>
      </c>
      <c r="M47" s="98">
        <f>_xlfn.IFNA(VLOOKUP(CONCATENATE($A47,"_",M$3),Robust!$A$3:$D$70,4,FALSE),"")</f>
        <v>0.5</v>
      </c>
      <c r="N47" s="98">
        <f>_xlfn.IFNA(VLOOKUP(CONCATENATE($A47,"_",SpeciesTraits!L$3),Chain_forming!$A$3:$H$70,8,FALSE),"")</f>
        <v>1</v>
      </c>
      <c r="O47" s="98" t="str">
        <f>_xlfn.IFNA(VLOOKUP(CONCATENATE($A47,"_",SpeciesTraits!$L$3),Chain_forming!$A$3:$H$70,6,FALSE),"")</f>
        <v>Needle</v>
      </c>
      <c r="P47" s="98" t="str">
        <f>_xlfn.IFNA(VLOOKUP(CONCATENATE($A47,"_",$C$1),Size!$B$3:$F$69,5,FALSE),"")</f>
        <v>prism-parallelogram-base</v>
      </c>
    </row>
    <row r="48" spans="1:16">
      <c r="A48" t="str">
        <f>Species!A45</f>
        <v>Rhizo_ant_semi</v>
      </c>
      <c r="B48" t="str">
        <f>Species!B45</f>
        <v>Rhizosolenia antennata f. semispina</v>
      </c>
      <c r="C48" s="98">
        <f>_xlfn.IFNA(VLOOKUP(CONCATENATE($A48,"_",$C$1),Size!$B$3:$M$75,6,FALSE),"")</f>
        <v>80</v>
      </c>
      <c r="D48" s="98">
        <f>_xlfn.IFNA(VLOOKUP(CONCATENATE($A48,"_",$C$1),Size!$B$3:$M$75,7,FALSE),"")</f>
        <v>200</v>
      </c>
      <c r="E48" s="98">
        <f>_xlfn.IFNA(VLOOKUP(CONCATENATE($A48,"_",$C$1),Size!$B$3:$M$75,8,FALSE),"")</f>
        <v>16.938648519858511</v>
      </c>
      <c r="F48" s="98">
        <f>_xlfn.IFNA(VLOOKUP(CONCATENATE($A48,"_",$C$1),Size!$B$3:$M$75,9,FALSE),"")</f>
        <v>42.346621299646259</v>
      </c>
      <c r="G48" s="98">
        <f>_xlfn.IFNA(VLOOKUP(CONCATENATE($A48,"_",$C$1),Size!$B$3:$M$75,10,FALSE),"")</f>
        <v>0.24722222222222223</v>
      </c>
      <c r="H48" s="98">
        <f>_xlfn.IFNA(VLOOKUP(CONCATENATE($A48,"_",$C$1),Size!$B$3:$M$75,11,FALSE),"")</f>
        <v>9.8888888888888901E-2</v>
      </c>
      <c r="I48" s="98">
        <f>_xlfn.IFNA(VLOOKUP(CONCATENATE($A48,"_",I$3),Spikes!$A$4:$D$75,4,FALSE),"")</f>
        <v>2</v>
      </c>
      <c r="J48" s="98">
        <f>_xlfn.IFNA(VLOOKUP(CONCATENATE($A48,"_",J$3),Spore_forming!$A$4:$D$75,4,FALSE),"")</f>
        <v>2</v>
      </c>
      <c r="K48" s="98">
        <f>_xlfn.IFNA(VLOOKUP(CONCATENATE($A48,"_",$K$3),Stickiness!$A$3:$D$75,4,FALSE),"")</f>
        <v>0</v>
      </c>
      <c r="L48" s="98">
        <f>_xlfn.IFNA(VLOOKUP(CONCATENATE($A48,"_",$L$3),Chain_forming!$A$3:$D$70,4,FALSE),"")</f>
        <v>2</v>
      </c>
      <c r="M48" s="98">
        <f>_xlfn.IFNA(VLOOKUP(CONCATENATE($A48,"_",M$3),Robust!$A$3:$D$70,4,FALSE),"")</f>
        <v>1</v>
      </c>
      <c r="N48" s="98">
        <f>_xlfn.IFNA(VLOOKUP(CONCATENATE($A48,"_",SpeciesTraits!L$3),Chain_forming!$A$3:$H$70,8,FALSE),"")</f>
        <v>0</v>
      </c>
      <c r="O48" s="98" t="str">
        <f>_xlfn.IFNA(VLOOKUP(CONCATENATE($A48,"_",SpeciesTraits!$L$3),Chain_forming!$A$3:$H$70,6,FALSE),"")</f>
        <v>Tube</v>
      </c>
      <c r="P48" s="98" t="str">
        <f>_xlfn.IFNA(VLOOKUP(CONCATENATE($A48,"_",$C$1),Size!$B$3:$F$69,5,FALSE),"")</f>
        <v>cylinder</v>
      </c>
    </row>
    <row r="49" spans="1:16">
      <c r="A49" t="str">
        <f>Species!A48</f>
        <v>Rhizo_crass</v>
      </c>
      <c r="B49" t="str">
        <f>Species!B48</f>
        <v>Rhizosolenia crassa:</v>
      </c>
      <c r="C49" s="98">
        <f>_xlfn.IFNA(VLOOKUP(CONCATENATE($A49,"_",$C$1),Size!$B$3:$M$75,6,FALSE),"")</f>
        <v>100</v>
      </c>
      <c r="D49" s="98">
        <f>_xlfn.IFNA(VLOOKUP(CONCATENATE($A49,"_",$C$1),Size!$B$3:$M$75,7,FALSE),"")</f>
        <v>165</v>
      </c>
      <c r="E49" s="98">
        <f>_xlfn.IFNA(VLOOKUP(CONCATENATE($A49,"_",$C$1),Size!$B$3:$M$75,8,FALSE),"")</f>
        <v>45.428014820803497</v>
      </c>
      <c r="F49" s="98">
        <f>_xlfn.IFNA(VLOOKUP(CONCATENATE($A49,"_",$C$1),Size!$B$3:$M$75,9,FALSE),"")</f>
        <v>63.432679185861879</v>
      </c>
      <c r="G49">
        <f>_xlfn.IFNA(VLOOKUP(CONCATENATE($A49,"_",$C$1),Size!$B$3:$M$75,10,FALSE),"")</f>
        <v>0.08</v>
      </c>
      <c r="H49" s="98">
        <f>_xlfn.IFNA(VLOOKUP(CONCATENATE($A49,"_",$C$1),Size!$B$3:$M$75,11,FALSE),"")</f>
        <v>6.4242424242424254E-2</v>
      </c>
      <c r="I49" s="98">
        <f>_xlfn.IFNA(VLOOKUP(CONCATENATE($A49,"_",I$3),Spikes!$A$4:$D$75,4,FALSE),"")</f>
        <v>1</v>
      </c>
      <c r="J49" s="98">
        <f>_xlfn.IFNA(VLOOKUP(CONCATENATE($A49,"_",J$3),Spore_forming!$A$4:$D$75,4,FALSE),"")</f>
        <v>1</v>
      </c>
      <c r="K49" s="98">
        <f>_xlfn.IFNA(VLOOKUP(CONCATENATE($A49,"_",$K$3),Stickiness!$A$3:$D$75,4,FALSE),"")</f>
        <v>0</v>
      </c>
      <c r="L49" s="98">
        <f>_xlfn.IFNA(VLOOKUP(CONCATENATE($A49,"_",$L$3),Chain_forming!$A$3:$D$70,4,FALSE),"")</f>
        <v>2</v>
      </c>
      <c r="M49" s="98">
        <f>_xlfn.IFNA(VLOOKUP(CONCATENATE($A49,"_",M$3),Robust!$A$3:$D$70,4,FALSE),"")</f>
        <v>1</v>
      </c>
      <c r="N49" s="98">
        <f>_xlfn.IFNA(VLOOKUP(CONCATENATE($A49,"_",SpeciesTraits!L$3),Chain_forming!$A$3:$H$70,8,FALSE),"")</f>
        <v>0.5</v>
      </c>
      <c r="O49" s="98" t="str">
        <f>_xlfn.IFNA(VLOOKUP(CONCATENATE($A49,"_",SpeciesTraits!$L$3),Chain_forming!$A$3:$H$70,6,FALSE),"")</f>
        <v>Tube</v>
      </c>
      <c r="P49" s="98" t="str">
        <f>_xlfn.IFNA(VLOOKUP(CONCATENATE($A49,"_",$C$1),Size!$B$3:$F$69,5,FALSE),"")</f>
        <v>cylinder</v>
      </c>
    </row>
    <row r="50" spans="1:16">
      <c r="A50" t="str">
        <f>Species!A47</f>
        <v>Rhizo_curv</v>
      </c>
      <c r="B50" t="str">
        <f>Species!B47</f>
        <v>Rhizosolenia curvata</v>
      </c>
      <c r="C50" s="98">
        <f>_xlfn.IFNA(VLOOKUP(CONCATENATE($A50,"_",$C$1),Size!$B$3:$M$75,6,FALSE),"")</f>
        <v>20</v>
      </c>
      <c r="D50" s="98">
        <f>_xlfn.IFNA(VLOOKUP(CONCATENATE($A50,"_",$C$1),Size!$B$3:$M$75,7,FALSE),"")</f>
        <v>135</v>
      </c>
      <c r="E50" s="98">
        <f>_xlfn.IFNA(VLOOKUP(CONCATENATE($A50,"_",$C$1),Size!$B$3:$M$75,8,FALSE),"")</f>
        <v>6.0822019955734001</v>
      </c>
      <c r="F50" s="98">
        <f>_xlfn.IFNA(VLOOKUP(CONCATENATE($A50,"_",$C$1),Size!$B$3:$M$75,9,FALSE),"")</f>
        <v>40.192109723431251</v>
      </c>
      <c r="G50">
        <f>_xlfn.IFNA(VLOOKUP(CONCATENATE($A50,"_",$C$1),Size!$B$3:$M$75,10,FALSE),"")</f>
        <v>0.86666666666666659</v>
      </c>
      <c r="H50" s="98">
        <f>_xlfn.IFNA(VLOOKUP(CONCATENATE($A50,"_",$C$1),Size!$B$3:$M$75,11,FALSE),"")</f>
        <v>0.13489278752436648</v>
      </c>
      <c r="I50" s="98">
        <f>_xlfn.IFNA(VLOOKUP(CONCATENATE($A50,"_",I$3),Spikes!$A$4:$D$75,4,FALSE),"")</f>
        <v>1</v>
      </c>
      <c r="J50" s="98">
        <f>_xlfn.IFNA(VLOOKUP(CONCATENATE($A50,"_",J$3),Spore_forming!$A$4:$D$75,4,FALSE),"")</f>
        <v>1</v>
      </c>
      <c r="K50" s="98">
        <f>_xlfn.IFNA(VLOOKUP(CONCATENATE($A50,"_",$K$3),Stickiness!$A$3:$D$75,4,FALSE),"")</f>
        <v>0</v>
      </c>
      <c r="L50" s="98">
        <f>_xlfn.IFNA(VLOOKUP(CONCATENATE($A50,"_",$L$3),Chain_forming!$A$3:$D$70,4,FALSE),"")</f>
        <v>2</v>
      </c>
      <c r="M50" s="98">
        <f>_xlfn.IFNA(VLOOKUP(CONCATENATE($A50,"_",M$3),Robust!$A$3:$D$70,4,FALSE),"")</f>
        <v>1</v>
      </c>
      <c r="N50" s="98">
        <f>_xlfn.IFNA(VLOOKUP(CONCATENATE($A50,"_",SpeciesTraits!L$3),Chain_forming!$A$3:$H$70,8,FALSE),"")</f>
        <v>0.5</v>
      </c>
      <c r="O50" s="98" t="str">
        <f>_xlfn.IFNA(VLOOKUP(CONCATENATE($A50,"_",SpeciesTraits!$L$3),Chain_forming!$A$3:$H$70,6,FALSE),"")</f>
        <v>Tube</v>
      </c>
      <c r="P50" s="98" t="str">
        <f>_xlfn.IFNA(VLOOKUP(CONCATENATE($A50,"_",$C$1),Size!$B$3:$F$69,5,FALSE),"")</f>
        <v>cylinder</v>
      </c>
    </row>
    <row r="51" spans="1:16">
      <c r="A51" t="str">
        <f>Species!A23</f>
        <v>Rhizo_heb_hiem</v>
      </c>
      <c r="B51" t="str">
        <f>Species!B23</f>
        <v>Rhizosolenia hebetata f. hiemalis</v>
      </c>
      <c r="C51" s="98">
        <f>_xlfn.IFNA(VLOOKUP(CONCATENATE($A51,"_",$C$1),Size!$B$3:$M$75,6,FALSE),"")</f>
        <v>150</v>
      </c>
      <c r="D51" s="98">
        <f>_xlfn.IFNA(VLOOKUP(CONCATENATE($A51,"_",$C$1),Size!$B$3:$M$75,7,FALSE),"")</f>
        <v>750</v>
      </c>
      <c r="E51" s="98">
        <f>_xlfn.IFNA(VLOOKUP(CONCATENATE($A51,"_",$C$1),Size!$B$3:$M$75,8,FALSE),"")</f>
        <v>18.496590557478523</v>
      </c>
      <c r="F51" s="98">
        <f>_xlfn.IFNA(VLOOKUP(CONCATENATE($A51,"_",$C$1),Size!$B$3:$M$75,9,FALSE),"")</f>
        <v>64.812080509493583</v>
      </c>
      <c r="G51">
        <f>_xlfn.IFNA(VLOOKUP(CONCATENATE($A51,"_",$C$1),Size!$B$3:$M$75,10,FALSE),"")</f>
        <v>0.27999999999999997</v>
      </c>
      <c r="H51" s="98">
        <f>_xlfn.IFNA(VLOOKUP(CONCATENATE($A51,"_",$C$1),Size!$B$3:$M$75,11,FALSE),"")</f>
        <v>9.3575757575757562E-2</v>
      </c>
      <c r="I51" s="98">
        <f>_xlfn.IFNA(VLOOKUP(CONCATENATE($A51,"_",I$3),Spikes!$A$4:$D$75,4,FALSE),"")</f>
        <v>1</v>
      </c>
      <c r="J51" s="98">
        <f>_xlfn.IFNA(VLOOKUP(CONCATENATE($A51,"_",J$3),Spore_forming!$A$4:$D$75,4,FALSE),"")</f>
        <v>1</v>
      </c>
      <c r="K51" s="98">
        <f>_xlfn.IFNA(VLOOKUP(CONCATENATE($A51,"_",$K$3),Stickiness!$A$3:$D$75,4,FALSE),"")</f>
        <v>0</v>
      </c>
      <c r="L51" s="98" t="str">
        <f>_xlfn.IFNA(VLOOKUP(CONCATENATE($A51,"_",$L$3),Chain_forming!$A$3:$D$70,4,FALSE),"")</f>
        <v>NA</v>
      </c>
      <c r="M51" s="98">
        <f>_xlfn.IFNA(VLOOKUP(CONCATENATE($A51,"_",M$3),Robust!$A$3:$D$70,4,FALSE),"")</f>
        <v>1</v>
      </c>
      <c r="N51" s="98" t="str">
        <f>_xlfn.IFNA(VLOOKUP(CONCATENATE($A51,"_",SpeciesTraits!L$3),Chain_forming!$A$3:$H$70,8,FALSE),"")</f>
        <v>NA</v>
      </c>
      <c r="O51" s="98" t="str">
        <f>_xlfn.IFNA(VLOOKUP(CONCATENATE($A51,"_",SpeciesTraits!$L$3),Chain_forming!$A$3:$H$70,6,FALSE),"")</f>
        <v>NA</v>
      </c>
      <c r="P51" s="98" t="str">
        <f>_xlfn.IFNA(VLOOKUP(CONCATENATE($A51,"_",$C$1),Size!$B$3:$F$69,5,FALSE),"")</f>
        <v>cylinder</v>
      </c>
    </row>
    <row r="52" spans="1:16">
      <c r="A52" t="str">
        <f>Species!A22</f>
        <v>Rhizo_heb_semi</v>
      </c>
      <c r="B52" t="str">
        <f>Species!B22</f>
        <v>Rhizosolenia hebetata f. semispina</v>
      </c>
      <c r="C52" s="98">
        <f>_xlfn.IFNA(VLOOKUP(CONCATENATE($A52,"_",$C$1),Size!$B$3:$M$75,6,FALSE),"")</f>
        <v>150</v>
      </c>
      <c r="D52" s="98">
        <f>_xlfn.IFNA(VLOOKUP(CONCATENATE($A52,"_",$C$1),Size!$B$3:$M$75,7,FALSE),"")</f>
        <v>600</v>
      </c>
      <c r="E52" s="98">
        <f>_xlfn.IFNA(VLOOKUP(CONCATENATE($A52,"_",$C$1),Size!$B$3:$M$75,8,FALSE),"")</f>
        <v>8.2890708719408703</v>
      </c>
      <c r="F52" s="98">
        <f>_xlfn.IFNA(VLOOKUP(CONCATENATE($A52,"_",$C$1),Size!$B$3:$M$75,9,FALSE),"")</f>
        <v>56.462161732861674</v>
      </c>
      <c r="G52">
        <f>_xlfn.IFNA(VLOOKUP(CONCATENATE($A52,"_",$C$1),Size!$B$3:$M$75,10,FALSE),"")</f>
        <v>0.90222222222222226</v>
      </c>
      <c r="H52" s="98">
        <f>_xlfn.IFNA(VLOOKUP(CONCATENATE($A52,"_",$C$1),Size!$B$3:$M$75,11,FALSE),"")</f>
        <v>0.10333333333333333</v>
      </c>
      <c r="I52" s="98">
        <f>_xlfn.IFNA(VLOOKUP(CONCATENATE($A52,"_",I$3),Spikes!$A$4:$D$75,4,FALSE),"")</f>
        <v>2</v>
      </c>
      <c r="J52" s="98">
        <f>_xlfn.IFNA(VLOOKUP(CONCATENATE($A52,"_",J$3),Spore_forming!$A$4:$D$75,4,FALSE),"")</f>
        <v>1</v>
      </c>
      <c r="K52" s="98">
        <f>_xlfn.IFNA(VLOOKUP(CONCATENATE($A52,"_",$K$3),Stickiness!$A$3:$D$75,4,FALSE),"")</f>
        <v>0</v>
      </c>
      <c r="L52" s="98">
        <f>_xlfn.IFNA(VLOOKUP(CONCATENATE($A52,"_",$L$3),Chain_forming!$A$3:$D$70,4,FALSE),"")</f>
        <v>2</v>
      </c>
      <c r="M52" s="98">
        <f>_xlfn.IFNA(VLOOKUP(CONCATENATE($A52,"_",M$3),Robust!$A$3:$D$70,4,FALSE),"")</f>
        <v>1</v>
      </c>
      <c r="N52" s="98">
        <f>_xlfn.IFNA(VLOOKUP(CONCATENATE($A52,"_",SpeciesTraits!L$3),Chain_forming!$A$3:$H$70,8,FALSE),"")</f>
        <v>1</v>
      </c>
      <c r="O52" s="98" t="str">
        <f>_xlfn.IFNA(VLOOKUP(CONCATENATE($A52,"_",SpeciesTraits!$L$3),Chain_forming!$A$3:$H$70,6,FALSE),"")</f>
        <v>Tube</v>
      </c>
      <c r="P52" s="98" t="str">
        <f>_xlfn.IFNA(VLOOKUP(CONCATENATE($A52,"_",$C$1),Size!$B$3:$F$69,5,FALSE),"")</f>
        <v>cylinder</v>
      </c>
    </row>
    <row r="53" spans="1:16">
      <c r="A53" t="str">
        <f>Species!A46</f>
        <v>Rhizo_poly</v>
      </c>
      <c r="B53" t="str">
        <f>Species!B46</f>
        <v>Rhizosolenia polydactyla var. polydactyla</v>
      </c>
      <c r="C53" s="98">
        <f>_xlfn.IFNA(VLOOKUP(CONCATENATE($A53,"_",$C$1),Size!$B$3:$M$75,6,FALSE),"")</f>
        <v>150</v>
      </c>
      <c r="D53" s="98">
        <f>_xlfn.IFNA(VLOOKUP(CONCATENATE($A53,"_",$C$1),Size!$B$3:$M$75,7,FALSE),"")</f>
        <v>1500</v>
      </c>
      <c r="E53" s="98">
        <f>_xlfn.IFNA(VLOOKUP(CONCATENATE($A53,"_",$C$1),Size!$B$3:$M$75,8,FALSE),"")</f>
        <v>18.496590557478523</v>
      </c>
      <c r="F53" s="98">
        <f>_xlfn.IFNA(VLOOKUP(CONCATENATE($A53,"_",$C$1),Size!$B$3:$M$75,9,FALSE),"")</f>
        <v>145.82222137555382</v>
      </c>
      <c r="G53">
        <f>_xlfn.IFNA(VLOOKUP(CONCATENATE($A53,"_",$C$1),Size!$B$3:$M$75,10,FALSE),"")</f>
        <v>0.27999999999999997</v>
      </c>
      <c r="H53" s="98">
        <f>_xlfn.IFNA(VLOOKUP(CONCATENATE($A53,"_",$C$1),Size!$B$3:$M$75,11,FALSE),"")</f>
        <v>3.9428571428571438E-2</v>
      </c>
      <c r="I53" s="98">
        <f>_xlfn.IFNA(VLOOKUP(CONCATENATE($A53,"_",I$3),Spikes!$A$4:$D$75,4,FALSE),"")</f>
        <v>1</v>
      </c>
      <c r="J53" s="98">
        <f>_xlfn.IFNA(VLOOKUP(CONCATENATE($A53,"_",J$3),Spore_forming!$A$4:$D$75,4,FALSE),"")</f>
        <v>2</v>
      </c>
      <c r="K53" s="98">
        <f>_xlfn.IFNA(VLOOKUP(CONCATENATE($A53,"_",$K$3),Stickiness!$A$3:$D$75,4,FALSE),"")</f>
        <v>0</v>
      </c>
      <c r="L53" s="98">
        <f>_xlfn.IFNA(VLOOKUP(CONCATENATE($A53,"_",$L$3),Chain_forming!$A$3:$D$70,4,FALSE),"")</f>
        <v>1</v>
      </c>
      <c r="M53" s="98">
        <f>_xlfn.IFNA(VLOOKUP(CONCATENATE($A53,"_",M$3),Robust!$A$3:$D$70,4,FALSE),"")</f>
        <v>1</v>
      </c>
      <c r="N53" s="98">
        <f>_xlfn.IFNA(VLOOKUP(CONCATENATE($A53,"_",SpeciesTraits!L$3),Chain_forming!$A$3:$H$70,8,FALSE),"")</f>
        <v>0</v>
      </c>
      <c r="O53" s="98" t="str">
        <f>_xlfn.IFNA(VLOOKUP(CONCATENATE($A53,"_",SpeciesTraits!$L$3),Chain_forming!$A$3:$H$70,6,FALSE),"")</f>
        <v>Solitary</v>
      </c>
      <c r="P53" s="98" t="str">
        <f>_xlfn.IFNA(VLOOKUP(CONCATENATE($A53,"_",$C$1),Size!$B$3:$F$69,5,FALSE),"")</f>
        <v>cylinder</v>
      </c>
    </row>
    <row r="54" spans="1:16">
      <c r="A54" t="str">
        <f>Species!A49</f>
        <v>Rhizo_sima</v>
      </c>
      <c r="B54" t="str">
        <f>Species!B49</f>
        <v>Rhizosolenia sima var. sima</v>
      </c>
      <c r="C54" s="98">
        <f>_xlfn.IFNA(VLOOKUP(CONCATENATE($A54,"_",$C$1),Size!$B$3:$M$75,6,FALSE),"")</f>
        <v>150</v>
      </c>
      <c r="D54" s="98">
        <f>_xlfn.IFNA(VLOOKUP(CONCATENATE($A54,"_",$C$1),Size!$B$3:$M$75,7,FALSE),"")</f>
        <v>300</v>
      </c>
      <c r="E54" s="98">
        <f>_xlfn.IFNA(VLOOKUP(CONCATENATE($A54,"_",$C$1),Size!$B$3:$M$75,8,FALSE),"")</f>
        <v>15.939878537739165</v>
      </c>
      <c r="F54" s="98">
        <f>_xlfn.IFNA(VLOOKUP(CONCATENATE($A54,"_",$C$1),Size!$B$3:$M$75,9,FALSE),"")</f>
        <v>27.282023346168842</v>
      </c>
      <c r="G54">
        <f>_xlfn.IFNA(VLOOKUP(CONCATENATE($A54,"_",$C$1),Size!$B$3:$M$75,10,FALSE),"")</f>
        <v>0.34666666666666662</v>
      </c>
      <c r="H54" s="98">
        <f>_xlfn.IFNA(VLOOKUP(CONCATENATE($A54,"_",$C$1),Size!$B$3:$M$75,11,FALSE),"")</f>
        <v>0.21719298245614033</v>
      </c>
      <c r="I54" s="98">
        <f>_xlfn.IFNA(VLOOKUP(CONCATENATE($A54,"_",I$3),Spikes!$A$4:$D$75,4,FALSE),"")</f>
        <v>1</v>
      </c>
      <c r="J54" s="98">
        <f>_xlfn.IFNA(VLOOKUP(CONCATENATE($A54,"_",J$3),Spore_forming!$A$4:$D$75,4,FALSE),"")</f>
        <v>2</v>
      </c>
      <c r="K54" s="98">
        <f>_xlfn.IFNA(VLOOKUP(CONCATENATE($A54,"_",$K$3),Stickiness!$A$3:$D$75,4,FALSE),"")</f>
        <v>0</v>
      </c>
      <c r="L54" s="98">
        <f>_xlfn.IFNA(VLOOKUP(CONCATENATE($A54,"_",$L$3),Chain_forming!$A$3:$D$70,4,FALSE),"")</f>
        <v>2</v>
      </c>
      <c r="M54" s="98">
        <f>_xlfn.IFNA(VLOOKUP(CONCATENATE($A54,"_",M$3),Robust!$A$3:$D$70,4,FALSE),"")</f>
        <v>1</v>
      </c>
      <c r="N54" s="98">
        <f>_xlfn.IFNA(VLOOKUP(CONCATENATE($A54,"_",SpeciesTraits!L$3),Chain_forming!$A$3:$H$70,8,FALSE),"")</f>
        <v>0.5</v>
      </c>
      <c r="O54" s="98" t="str">
        <f>_xlfn.IFNA(VLOOKUP(CONCATENATE($A54,"_",SpeciesTraits!$L$3),Chain_forming!$A$3:$H$70,6,FALSE),"")</f>
        <v>Tube</v>
      </c>
      <c r="P54" s="98" t="str">
        <f>_xlfn.IFNA(VLOOKUP(CONCATENATE($A54,"_",$C$1),Size!$B$3:$F$69,5,FALSE),"")</f>
        <v>cylinder</v>
      </c>
    </row>
    <row r="55" spans="1:16">
      <c r="A55" t="str">
        <f>Species!A40</f>
        <v>Rope_tess</v>
      </c>
      <c r="B55" t="str">
        <f>Species!B40</f>
        <v>Roperia tesselata</v>
      </c>
      <c r="C55" s="98">
        <f>_xlfn.IFNA(VLOOKUP(CONCATENATE($A55,"_",$C$1),Size!$B$3:$M$75,6,FALSE),"")</f>
        <v>40</v>
      </c>
      <c r="D55" s="98">
        <f>_xlfn.IFNA(VLOOKUP(CONCATENATE($A55,"_",$C$1),Size!$B$3:$M$75,7,FALSE),"")</f>
        <v>70</v>
      </c>
      <c r="E55" s="98">
        <f>_xlfn.IFNA(VLOOKUP(CONCATENATE($A55,"_",$C$1),Size!$B$3:$M$75,8,FALSE),"")</f>
        <v>18.171205928321388</v>
      </c>
      <c r="F55" s="98">
        <f>_xlfn.IFNA(VLOOKUP(CONCATENATE($A55,"_",$C$1),Size!$B$3:$M$75,9,FALSE),"")</f>
        <v>31.79961037456243</v>
      </c>
      <c r="G55">
        <f>_xlfn.IFNA(VLOOKUP(CONCATENATE($A55,"_",$C$1),Size!$B$3:$M$75,10,FALSE),"")</f>
        <v>0.19999999999999998</v>
      </c>
      <c r="H55" s="98">
        <f>_xlfn.IFNA(VLOOKUP(CONCATENATE($A55,"_",$C$1),Size!$B$3:$M$75,11,FALSE),"")</f>
        <v>0.1142857142857143</v>
      </c>
      <c r="I55" s="98">
        <f>_xlfn.IFNA(VLOOKUP(CONCATENATE($A55,"_",I$3),Spikes!$A$4:$D$75,4,FALSE),"")</f>
        <v>1</v>
      </c>
      <c r="J55" s="98">
        <f>_xlfn.IFNA(VLOOKUP(CONCATENATE($A55,"_",J$3),Spore_forming!$A$4:$D$75,4,FALSE),"")</f>
        <v>1</v>
      </c>
      <c r="K55" s="98">
        <f>_xlfn.IFNA(VLOOKUP(CONCATENATE($A55,"_",$K$3),Stickiness!$A$3:$D$75,4,FALSE),"")</f>
        <v>0</v>
      </c>
      <c r="L55" s="98">
        <f>_xlfn.IFNA(VLOOKUP(CONCATENATE($A55,"_",$L$3),Chain_forming!$A$3:$D$70,4,FALSE),"")</f>
        <v>1</v>
      </c>
      <c r="M55" s="98">
        <f>_xlfn.IFNA(VLOOKUP(CONCATENATE($A55,"_",M$3),Robust!$A$3:$D$70,4,FALSE),"")</f>
        <v>1</v>
      </c>
      <c r="N55" s="98">
        <f>_xlfn.IFNA(VLOOKUP(CONCATENATE($A55,"_",SpeciesTraits!L$3),Chain_forming!$A$3:$H$70,8,FALSE),"")</f>
        <v>0</v>
      </c>
      <c r="O55" s="98" t="str">
        <f>_xlfn.IFNA(VLOOKUP(CONCATENATE($A55,"_",SpeciesTraits!$L$3),Chain_forming!$A$3:$H$70,6,FALSE),"")</f>
        <v>Solitary</v>
      </c>
      <c r="P55" s="98" t="str">
        <f>_xlfn.IFNA(VLOOKUP(CONCATENATE($A55,"_",$C$1),Size!$B$3:$F$69,5,FALSE),"")</f>
        <v>cylinder</v>
      </c>
    </row>
    <row r="56" spans="1:16">
      <c r="A56" t="str">
        <f>Species!A61</f>
        <v>Stel_micro</v>
      </c>
      <c r="B56" t="str">
        <f>Species!B61</f>
        <v>Stellarima microtrias</v>
      </c>
      <c r="C56" s="98">
        <f>_xlfn.IFNA(VLOOKUP(CONCATENATE($A56,"_",$C$1),Size!$B$3:$M$75,6,FALSE),"")</f>
        <v>50</v>
      </c>
      <c r="D56" s="98">
        <f>_xlfn.IFNA(VLOOKUP(CONCATENATE($A56,"_",$C$1),Size!$B$3:$M$75,7,FALSE),"")</f>
        <v>105</v>
      </c>
      <c r="E56" s="98">
        <f>_xlfn.IFNA(VLOOKUP(CONCATENATE($A56,"_",$C$1),Size!$B$3:$M$75,8,FALSE),"")</f>
        <v>22.714007410401745</v>
      </c>
      <c r="F56" s="98">
        <f>_xlfn.IFNA(VLOOKUP(CONCATENATE($A56,"_",$C$1),Size!$B$3:$M$75,9,FALSE),"")</f>
        <v>47.54750556628732</v>
      </c>
      <c r="G56">
        <f>_xlfn.IFNA(VLOOKUP(CONCATENATE($A56,"_",$C$1),Size!$B$3:$M$75,10,FALSE),"")</f>
        <v>0.16</v>
      </c>
      <c r="H56" s="98">
        <f>_xlfn.IFNA(VLOOKUP(CONCATENATE($A56,"_",$C$1),Size!$B$3:$M$75,11,FALSE),"")</f>
        <v>7.6556776556776562E-2</v>
      </c>
      <c r="I56" s="98">
        <f>_xlfn.IFNA(VLOOKUP(CONCATENATE($A56,"_",I$3),Spikes!$A$4:$D$75,4,FALSE),"")</f>
        <v>1</v>
      </c>
      <c r="J56" s="98">
        <f>_xlfn.IFNA(VLOOKUP(CONCATENATE($A56,"_",J$3),Spore_forming!$A$4:$D$75,4,FALSE),"")</f>
        <v>2</v>
      </c>
      <c r="K56" s="98">
        <f>_xlfn.IFNA(VLOOKUP(CONCATENATE($A56,"_",$K$3),Stickiness!$A$3:$D$75,4,FALSE),"")</f>
        <v>0</v>
      </c>
      <c r="L56" s="98">
        <f>_xlfn.IFNA(VLOOKUP(CONCATENATE($A56,"_",$L$3),Chain_forming!$A$3:$D$70,4,FALSE),"")</f>
        <v>2</v>
      </c>
      <c r="M56" s="98">
        <f>_xlfn.IFNA(VLOOKUP(CONCATENATE($A56,"_",M$3),Robust!$A$3:$D$70,4,FALSE),"")</f>
        <v>0.1</v>
      </c>
      <c r="N56" s="98">
        <f>_xlfn.IFNA(VLOOKUP(CONCATENATE($A56,"_",SpeciesTraits!L$3),Chain_forming!$A$3:$H$70,8,FALSE),"")</f>
        <v>1</v>
      </c>
      <c r="O56" s="98" t="str">
        <f>_xlfn.IFNA(VLOOKUP(CONCATENATE($A56,"_",SpeciesTraits!$L$3),Chain_forming!$A$3:$H$70,6,FALSE),"")</f>
        <v>Tube</v>
      </c>
      <c r="P56" s="98" t="str">
        <f>_xlfn.IFNA(VLOOKUP(CONCATENATE($A56,"_",$C$1),Size!$B$3:$F$69,5,FALSE),"")</f>
        <v>cylinder</v>
      </c>
    </row>
    <row r="57" spans="1:16">
      <c r="A57" t="str">
        <f>Species!A37</f>
        <v>Thal_nitz</v>
      </c>
      <c r="B57" t="str">
        <f>Species!B37</f>
        <v>Thalassionema nitzschioides</v>
      </c>
      <c r="C57" s="98">
        <f>_xlfn.IFNA(VLOOKUP(CONCATENATE($A57,"_",$C$1),Size!$B$3:$M$75,6,FALSE),"")</f>
        <v>110</v>
      </c>
      <c r="D57" s="98">
        <f>_xlfn.IFNA(VLOOKUP(CONCATENATE($A57,"_",$C$1),Size!$B$3:$M$75,7,FALSE),"")</f>
        <v>60</v>
      </c>
      <c r="E57" s="98">
        <f>_xlfn.IFNA(VLOOKUP(CONCATENATE($A57,"_",$C$1),Size!$B$3:$M$75,8,FALSE),"")</f>
        <v>2.9902658734369902</v>
      </c>
      <c r="F57" s="98">
        <f>_xlfn.IFNA(VLOOKUP(CONCATENATE($A57,"_",$C$1),Size!$B$3:$M$75,9,FALSE),"")</f>
        <v>8.6424994250454503</v>
      </c>
      <c r="G57">
        <f>_xlfn.IFNA(VLOOKUP(CONCATENATE($A57,"_",$C$1),Size!$B$3:$M$75,10,FALSE),"")</f>
        <v>9.9860779158340502</v>
      </c>
      <c r="H57" s="98">
        <f>_xlfn.IFNA(VLOOKUP(CONCATENATE($A57,"_",$C$1),Size!$B$3:$M$75,11,FALSE),"")</f>
        <v>220.4816367549723</v>
      </c>
      <c r="I57" s="98">
        <f>_xlfn.IFNA(VLOOKUP(CONCATENATE($A57,"_",I$3),Spikes!$A$4:$D$75,4,FALSE),"")</f>
        <v>1</v>
      </c>
      <c r="J57" s="98">
        <f>_xlfn.IFNA(VLOOKUP(CONCATENATE($A57,"_",J$3),Spore_forming!$A$4:$D$75,4,FALSE),"")</f>
        <v>1</v>
      </c>
      <c r="K57" s="98">
        <f>_xlfn.IFNA(VLOOKUP(CONCATENATE($A57,"_",$K$3),Stickiness!$A$3:$D$75,4,FALSE),"")</f>
        <v>0</v>
      </c>
      <c r="L57" s="98">
        <f>_xlfn.IFNA(VLOOKUP(CONCATENATE($A57,"_",$L$3),Chain_forming!$A$3:$D$70,4,FALSE),"")</f>
        <v>2</v>
      </c>
      <c r="M57" s="98">
        <f>_xlfn.IFNA(VLOOKUP(CONCATENATE($A57,"_",M$3),Robust!$A$3:$D$70,4,FALSE),"")</f>
        <v>1</v>
      </c>
      <c r="N57" s="98">
        <f>_xlfn.IFNA(VLOOKUP(CONCATENATE($A57,"_",SpeciesTraits!L$3),Chain_forming!$A$3:$H$70,8,FALSE),"")</f>
        <v>1</v>
      </c>
      <c r="O57" s="98" t="str">
        <f>_xlfn.IFNA(VLOOKUP(CONCATENATE($A57,"_",SpeciesTraits!$L$3),Chain_forming!$A$3:$H$70,6,FALSE),"")</f>
        <v>Star</v>
      </c>
      <c r="P57" s="98" t="str">
        <f>_xlfn.IFNA(VLOOKUP(CONCATENATE($A57,"_",$C$1),Size!$B$3:$F$69,5,FALSE),"")</f>
        <v>rectangular box</v>
      </c>
    </row>
    <row r="58" spans="1:16">
      <c r="A58" t="str">
        <f>Species!A18</f>
        <v>Thala_antarc</v>
      </c>
      <c r="B58" t="str">
        <f>Species!B18</f>
        <v>Thalassiosira antarctica</v>
      </c>
      <c r="C58" s="98">
        <f>_xlfn.IFNA(VLOOKUP(CONCATENATE($A58,"_",$C$1),Size!$B$3:$M$75,6,FALSE),"")</f>
        <v>14</v>
      </c>
      <c r="D58" s="98">
        <f>_xlfn.IFNA(VLOOKUP(CONCATENATE($A58,"_",$C$1),Size!$B$3:$M$75,7,FALSE),"")</f>
        <v>15</v>
      </c>
      <c r="E58" s="98">
        <f>_xlfn.IFNA(VLOOKUP(CONCATENATE($A58,"_",$C$1),Size!$B$3:$M$75,8,FALSE),"")</f>
        <v>7.611662611020245</v>
      </c>
      <c r="F58" s="98">
        <f>_xlfn.IFNA(VLOOKUP(CONCATENATE($A58,"_",$C$1),Size!$B$3:$M$75,9,FALSE),"")</f>
        <v>8.1994149890003403</v>
      </c>
      <c r="G58">
        <f>_xlfn.IFNA(VLOOKUP(CONCATENATE($A58,"_",$C$1),Size!$B$3:$M$75,10,FALSE),"")</f>
        <v>0.45238095238095244</v>
      </c>
      <c r="H58" s="98">
        <f>_xlfn.IFNA(VLOOKUP(CONCATENATE($A58,"_",$C$1),Size!$B$3:$M$75,11,FALSE),"")</f>
        <v>0.41904761904761906</v>
      </c>
      <c r="I58" s="98">
        <f>_xlfn.IFNA(VLOOKUP(CONCATENATE($A58,"_",I$3),Spikes!$A$4:$D$75,4,FALSE),"")</f>
        <v>1</v>
      </c>
      <c r="J58" s="98">
        <f>_xlfn.IFNA(VLOOKUP(CONCATENATE($A58,"_",J$3),Spore_forming!$A$4:$D$75,4,FALSE),"")</f>
        <v>2</v>
      </c>
      <c r="K58" s="98">
        <f>_xlfn.IFNA(VLOOKUP(CONCATENATE($A58,"_",$K$3),Stickiness!$A$3:$D$75,4,FALSE),"")</f>
        <v>0</v>
      </c>
      <c r="L58" s="98">
        <f>_xlfn.IFNA(VLOOKUP(CONCATENATE($A58,"_",$L$3),Chain_forming!$A$3:$D$70,4,FALSE),"")</f>
        <v>2</v>
      </c>
      <c r="M58" s="98">
        <f>_xlfn.IFNA(VLOOKUP(CONCATENATE($A58,"_",M$3),Robust!$A$3:$D$70,4,FALSE),"")</f>
        <v>1</v>
      </c>
      <c r="N58" s="98">
        <f>_xlfn.IFNA(VLOOKUP(CONCATENATE($A58,"_",SpeciesTraits!L$3),Chain_forming!$A$3:$H$70,8,FALSE),"")</f>
        <v>0</v>
      </c>
      <c r="O58" s="98" t="str">
        <f>_xlfn.IFNA(VLOOKUP(CONCATENATE($A58,"_",SpeciesTraits!$L$3),Chain_forming!$A$3:$H$70,6,FALSE),"")</f>
        <v>Tube</v>
      </c>
      <c r="P58" s="98" t="str">
        <f>_xlfn.IFNA(VLOOKUP(CONCATENATE($A58,"_",$C$1),Size!$B$3:$F$69,5,FALSE),"")</f>
        <v>cylinder</v>
      </c>
    </row>
    <row r="59" spans="1:16">
      <c r="A59" t="str">
        <f>Species!A42</f>
        <v>Thala_ecc</v>
      </c>
      <c r="B59" t="str">
        <f>Species!B42</f>
        <v>Thalassiosira eccentrica</v>
      </c>
      <c r="C59" s="98">
        <f>_xlfn.IFNA(VLOOKUP(CONCATENATE($A59,"_",$C$1),Size!$B$3:$M$75,6,FALSE),"")</f>
        <v>15</v>
      </c>
      <c r="D59" s="98">
        <f>_xlfn.IFNA(VLOOKUP(CONCATENATE($A59,"_",$C$1),Size!$B$3:$M$75,7,FALSE),"")</f>
        <v>110</v>
      </c>
      <c r="E59" s="98">
        <f>_xlfn.IFNA(VLOOKUP(CONCATENATE($A59,"_",$C$1),Size!$B$3:$M$75,8,FALSE),"")</f>
        <v>4.7247039371057742</v>
      </c>
      <c r="F59" s="98">
        <f>_xlfn.IFNA(VLOOKUP(CONCATENATE($A59,"_",$C$1),Size!$B$3:$M$75,9,FALSE),"")</f>
        <v>35.667462448641537</v>
      </c>
      <c r="G59">
        <f>_xlfn.IFNA(VLOOKUP(CONCATENATE($A59,"_",$C$1),Size!$B$3:$M$75,10,FALSE),"")</f>
        <v>1.0666666666666667</v>
      </c>
      <c r="H59" s="98">
        <f>_xlfn.IFNA(VLOOKUP(CONCATENATE($A59,"_",$C$1),Size!$B$3:$M$75,11,FALSE),"")</f>
        <v>0.13636363636363635</v>
      </c>
      <c r="I59" s="98">
        <f>_xlfn.IFNA(VLOOKUP(CONCATENATE($A59,"_",I$3),Spikes!$A$4:$D$75,4,FALSE),"")</f>
        <v>1</v>
      </c>
      <c r="J59" s="98">
        <f>_xlfn.IFNA(VLOOKUP(CONCATENATE($A59,"_",J$3),Spore_forming!$A$4:$D$75,4,FALSE),"")</f>
        <v>1</v>
      </c>
      <c r="K59" s="98">
        <f>_xlfn.IFNA(VLOOKUP(CONCATENATE($A59,"_",$K$3),Stickiness!$A$3:$D$75,4,FALSE),"")</f>
        <v>0</v>
      </c>
      <c r="L59" s="98">
        <f>_xlfn.IFNA(VLOOKUP(CONCATENATE($A59,"_",$L$3),Chain_forming!$A$3:$D$70,4,FALSE),"")</f>
        <v>2</v>
      </c>
      <c r="M59" s="98">
        <f>_xlfn.IFNA(VLOOKUP(CONCATENATE($A59,"_",M$3),Robust!$A$3:$D$70,4,FALSE),"")</f>
        <v>1</v>
      </c>
      <c r="N59" s="98">
        <f>_xlfn.IFNA(VLOOKUP(CONCATENATE($A59,"_",SpeciesTraits!L$3),Chain_forming!$A$3:$H$70,8,FALSE),"")</f>
        <v>1</v>
      </c>
      <c r="O59" s="98" t="str">
        <f>_xlfn.IFNA(VLOOKUP(CONCATENATE($A59,"_",SpeciesTraits!$L$3),Chain_forming!$A$3:$H$70,6,FALSE),"")</f>
        <v>Tube</v>
      </c>
      <c r="P59" s="98" t="str">
        <f>_xlfn.IFNA(VLOOKUP(CONCATENATE($A59,"_",$C$1),Size!$B$3:$F$69,5,FALSE),"")</f>
        <v>cylinder</v>
      </c>
    </row>
    <row r="60" spans="1:16">
      <c r="A60" t="str">
        <f>Species!A28</f>
        <v>Thala_grac</v>
      </c>
      <c r="B60" t="str">
        <f>Species!B28</f>
        <v>Thalassiosira gracilis</v>
      </c>
      <c r="C60" s="98">
        <f>_xlfn.IFNA(VLOOKUP(CONCATENATE($A60,"_",$C$1),Size!$B$3:$M$75,6,FALSE),"")</f>
        <v>5</v>
      </c>
      <c r="D60" s="98">
        <f>_xlfn.IFNA(VLOOKUP(CONCATENATE($A60,"_",$C$1),Size!$B$3:$M$75,7,FALSE),"")</f>
        <v>28</v>
      </c>
      <c r="E60" s="98">
        <f>_xlfn.IFNA(VLOOKUP(CONCATENATE($A60,"_",$C$1),Size!$B$3:$M$75,8,FALSE),"")</f>
        <v>2.4137234615140741</v>
      </c>
      <c r="F60" s="98">
        <f>_xlfn.IFNA(VLOOKUP(CONCATENATE($A60,"_",$C$1),Size!$B$3:$M$75,9,FALSE),"")</f>
        <v>12.719844149824977</v>
      </c>
      <c r="G60">
        <f>_xlfn.IFNA(VLOOKUP(CONCATENATE($A60,"_",$C$1),Size!$B$3:$M$75,10,FALSE),"")</f>
        <v>1.4666666666666668</v>
      </c>
      <c r="H60" s="98">
        <f>_xlfn.IFNA(VLOOKUP(CONCATENATE($A60,"_",$C$1),Size!$B$3:$M$75,11,FALSE),"")</f>
        <v>0.28571428571428575</v>
      </c>
      <c r="I60" s="98">
        <f>_xlfn.IFNA(VLOOKUP(CONCATENATE($A60,"_",I$3),Spikes!$A$4:$D$75,4,FALSE),"")</f>
        <v>1</v>
      </c>
      <c r="J60" s="98">
        <f>_xlfn.IFNA(VLOOKUP(CONCATENATE($A60,"_",J$3),Spore_forming!$A$4:$D$75,4,FALSE),"")</f>
        <v>1</v>
      </c>
      <c r="K60" s="98">
        <f>_xlfn.IFNA(VLOOKUP(CONCATENATE($A60,"_",$K$3),Stickiness!$A$3:$D$75,4,FALSE),"")</f>
        <v>0</v>
      </c>
      <c r="L60" s="98">
        <f>_xlfn.IFNA(VLOOKUP(CONCATENATE($A60,"_",$L$3),Chain_forming!$A$3:$D$70,4,FALSE),"")</f>
        <v>2</v>
      </c>
      <c r="M60" s="98">
        <f>_xlfn.IFNA(VLOOKUP(CONCATENATE($A60,"_",M$3),Robust!$A$3:$D$70,4,FALSE),"")</f>
        <v>1</v>
      </c>
      <c r="N60" s="98">
        <f>_xlfn.IFNA(VLOOKUP(CONCATENATE($A60,"_",SpeciesTraits!L$3),Chain_forming!$A$3:$H$70,8,FALSE),"")</f>
        <v>0</v>
      </c>
      <c r="O60" s="98" t="str">
        <f>_xlfn.IFNA(VLOOKUP(CONCATENATE($A60,"_",SpeciesTraits!$L$3),Chain_forming!$A$3:$H$70,6,FALSE),"")</f>
        <v>Tube</v>
      </c>
      <c r="P60" s="98" t="str">
        <f>_xlfn.IFNA(VLOOKUP(CONCATENATE($A60,"_",$C$1),Size!$B$3:$F$69,5,FALSE),"")</f>
        <v>cylinder</v>
      </c>
    </row>
    <row r="61" spans="1:16">
      <c r="A61" t="str">
        <f>Species!A19</f>
        <v>Thala_grav</v>
      </c>
      <c r="B61" t="str">
        <f>Species!B19</f>
        <v>Thalassiosira gravida</v>
      </c>
      <c r="C61" s="98">
        <f>_xlfn.IFNA(VLOOKUP(CONCATENATE($A61,"_",$C$1),Size!$B$3:$M$75,6,FALSE),"")</f>
        <v>8</v>
      </c>
      <c r="D61" s="98">
        <f>_xlfn.IFNA(VLOOKUP(CONCATENATE($A61,"_",$C$1),Size!$B$3:$M$75,7,FALSE),"")</f>
        <v>60</v>
      </c>
      <c r="E61" s="98">
        <f>_xlfn.IFNA(VLOOKUP(CONCATENATE($A61,"_",$C$1),Size!$B$3:$M$75,8,FALSE),"")</f>
        <v>3.9148676411688634</v>
      </c>
      <c r="F61" s="98">
        <f>_xlfn.IFNA(VLOOKUP(CONCATENATE($A61,"_",$C$1),Size!$B$3:$M$75,9,FALSE),"")</f>
        <v>23.81101577952299</v>
      </c>
      <c r="G61">
        <f>_xlfn.IFNA(VLOOKUP(CONCATENATE($A61,"_",$C$1),Size!$B$3:$M$75,10,FALSE),"")</f>
        <v>0.9</v>
      </c>
      <c r="H61" s="98">
        <f>_xlfn.IFNA(VLOOKUP(CONCATENATE($A61,"_",$C$1),Size!$B$3:$M$75,11,FALSE),"")</f>
        <v>0.16666666666666669</v>
      </c>
      <c r="I61" s="98">
        <f>_xlfn.IFNA(VLOOKUP(CONCATENATE($A61,"_",I$3),Spikes!$A$4:$D$75,4,FALSE),"")</f>
        <v>1</v>
      </c>
      <c r="J61" s="98">
        <f>_xlfn.IFNA(VLOOKUP(CONCATENATE($A61,"_",J$3),Spore_forming!$A$4:$D$75,4,FALSE),"")</f>
        <v>2</v>
      </c>
      <c r="K61" s="98">
        <f>_xlfn.IFNA(VLOOKUP(CONCATENATE($A61,"_",$K$3),Stickiness!$A$3:$D$75,4,FALSE),"")</f>
        <v>1</v>
      </c>
      <c r="L61" s="98">
        <f>_xlfn.IFNA(VLOOKUP(CONCATENATE($A61,"_",$L$3),Chain_forming!$A$3:$D$70,4,FALSE),"")</f>
        <v>2</v>
      </c>
      <c r="M61" s="98">
        <f>_xlfn.IFNA(VLOOKUP(CONCATENATE($A61,"_",M$3),Robust!$A$3:$D$70,4,FALSE),"")</f>
        <v>0.5</v>
      </c>
      <c r="N61" s="98">
        <f>_xlfn.IFNA(VLOOKUP(CONCATENATE($A61,"_",SpeciesTraits!L$3),Chain_forming!$A$3:$H$70,8,FALSE),"")</f>
        <v>0</v>
      </c>
      <c r="O61" s="98" t="str">
        <f>_xlfn.IFNA(VLOOKUP(CONCATENATE($A61,"_",SpeciesTraits!$L$3),Chain_forming!$A$3:$H$70,6,FALSE),"")</f>
        <v>Tube</v>
      </c>
      <c r="P61" s="98" t="str">
        <f>_xlfn.IFNA(VLOOKUP(CONCATENATE($A61,"_",$C$1),Size!$B$3:$F$69,5,FALSE),"")</f>
        <v>cylinder</v>
      </c>
    </row>
    <row r="62" spans="1:16">
      <c r="A62" t="str">
        <f>Species!A31</f>
        <v>Thala_lent</v>
      </c>
      <c r="B62" t="str">
        <f>Species!B31</f>
        <v>Thalassiosira lentiginosa</v>
      </c>
      <c r="C62" s="98">
        <f>_xlfn.IFNA(VLOOKUP(CONCATENATE($A62,"_",$C$1),Size!$B$3:$M$75,6,FALSE),"")</f>
        <v>29</v>
      </c>
      <c r="D62" s="98">
        <f>_xlfn.IFNA(VLOOKUP(CONCATENATE($A62,"_",$C$1),Size!$B$3:$M$75,7,FALSE),"")</f>
        <v>120</v>
      </c>
      <c r="E62" s="98">
        <f>_xlfn.IFNA(VLOOKUP(CONCATENATE($A62,"_",$C$1),Size!$B$3:$M$75,8,FALSE),"")</f>
        <v>10.334713366385696</v>
      </c>
      <c r="F62" s="98">
        <f>_xlfn.IFNA(VLOOKUP(CONCATENATE($A62,"_",$C$1),Size!$B$3:$M$75,9,FALSE),"")</f>
        <v>43.267487109222238</v>
      </c>
      <c r="G62">
        <f>_xlfn.IFNA(VLOOKUP(CONCATENATE($A62,"_",$C$1),Size!$B$3:$M$75,10,FALSE),"")</f>
        <v>0.42364532019704432</v>
      </c>
      <c r="H62" s="98">
        <f>_xlfn.IFNA(VLOOKUP(CONCATENATE($A62,"_",$C$1),Size!$B$3:$M$75,11,FALSE),"")</f>
        <v>9.9999999999999992E-2</v>
      </c>
      <c r="I62" s="98">
        <f>_xlfn.IFNA(VLOOKUP(CONCATENATE($A62,"_",I$3),Spikes!$A$4:$D$75,4,FALSE),"")</f>
        <v>1</v>
      </c>
      <c r="J62" s="98">
        <f>_xlfn.IFNA(VLOOKUP(CONCATENATE($A62,"_",J$3),Spore_forming!$A$4:$D$75,4,FALSE),"")</f>
        <v>1</v>
      </c>
      <c r="K62" s="98">
        <f>_xlfn.IFNA(VLOOKUP(CONCATENATE($A62,"_",$K$3),Stickiness!$A$3:$D$75,4,FALSE),"")</f>
        <v>0</v>
      </c>
      <c r="L62" s="98">
        <f>_xlfn.IFNA(VLOOKUP(CONCATENATE($A62,"_",$L$3),Chain_forming!$A$3:$D$70,4,FALSE),"")</f>
        <v>1</v>
      </c>
      <c r="M62" s="98">
        <f>_xlfn.IFNA(VLOOKUP(CONCATENATE($A62,"_",M$3),Robust!$A$3:$D$70,4,FALSE),"")</f>
        <v>1</v>
      </c>
      <c r="N62" s="98">
        <f>_xlfn.IFNA(VLOOKUP(CONCATENATE($A62,"_",SpeciesTraits!L$3),Chain_forming!$A$3:$H$70,8,FALSE),"")</f>
        <v>0</v>
      </c>
      <c r="O62" s="98" t="str">
        <f>_xlfn.IFNA(VLOOKUP(CONCATENATE($A62,"_",SpeciesTraits!$L$3),Chain_forming!$A$3:$H$70,6,FALSE),"")</f>
        <v>Solitary</v>
      </c>
      <c r="P62" s="98" t="str">
        <f>_xlfn.IFNA(VLOOKUP(CONCATENATE($A62,"_",$C$1),Size!$B$3:$F$69,5,FALSE),"")</f>
        <v>cylinder</v>
      </c>
    </row>
    <row r="63" spans="1:16">
      <c r="A63" t="str">
        <f>Species!A41</f>
        <v>Thala_line</v>
      </c>
      <c r="B63" t="str">
        <f>Species!B41</f>
        <v>Thalassiosira lineata</v>
      </c>
      <c r="C63" s="98">
        <f>_xlfn.IFNA(VLOOKUP(CONCATENATE($A63,"_",$C$1),Size!$B$3:$M$75,6,FALSE),"")</f>
        <v>9</v>
      </c>
      <c r="D63" s="98">
        <f>_xlfn.IFNA(VLOOKUP(CONCATENATE($A63,"_",$C$1),Size!$B$3:$M$75,7,FALSE),"")</f>
        <v>45</v>
      </c>
      <c r="E63" s="98">
        <f>_xlfn.IFNA(VLOOKUP(CONCATENATE($A63,"_",$C$1),Size!$B$3:$M$75,8,FALSE),"")</f>
        <v>3.9311120913133437</v>
      </c>
      <c r="F63" s="98">
        <f>_xlfn.IFNA(VLOOKUP(CONCATENATE($A63,"_",$C$1),Size!$B$3:$M$75,9,FALSE),"")</f>
        <v>20.290044217464295</v>
      </c>
      <c r="G63">
        <f>_xlfn.IFNA(VLOOKUP(CONCATENATE($A63,"_",$C$1),Size!$B$3:$M$75,10,FALSE),"")</f>
        <v>0.94444444444444453</v>
      </c>
      <c r="H63" s="98">
        <f>_xlfn.IFNA(VLOOKUP(CONCATENATE($A63,"_",$C$1),Size!$B$3:$M$75,11,FALSE),"")</f>
        <v>0.17979797979797982</v>
      </c>
      <c r="I63" s="98">
        <f>_xlfn.IFNA(VLOOKUP(CONCATENATE($A63,"_",I$3),Spikes!$A$4:$D$75,4,FALSE),"")</f>
        <v>1</v>
      </c>
      <c r="J63" s="98">
        <f>_xlfn.IFNA(VLOOKUP(CONCATENATE($A63,"_",J$3),Spore_forming!$A$4:$D$75,4,FALSE),"")</f>
        <v>1</v>
      </c>
      <c r="K63" s="98">
        <f>_xlfn.IFNA(VLOOKUP(CONCATENATE($A63,"_",$K$3),Stickiness!$A$3:$D$75,4,FALSE),"")</f>
        <v>0</v>
      </c>
      <c r="L63" s="98">
        <f>_xlfn.IFNA(VLOOKUP(CONCATENATE($A63,"_",$L$3),Chain_forming!$A$3:$D$70,4,FALSE),"")</f>
        <v>1</v>
      </c>
      <c r="M63" s="98">
        <f>_xlfn.IFNA(VLOOKUP(CONCATENATE($A63,"_",M$3),Robust!$A$3:$D$70,4,FALSE),"")</f>
        <v>1</v>
      </c>
      <c r="N63" s="98">
        <f>_xlfn.IFNA(VLOOKUP(CONCATENATE($A63,"_",SpeciesTraits!L$3),Chain_forming!$A$3:$H$70,8,FALSE),"")</f>
        <v>0</v>
      </c>
      <c r="O63" s="98" t="str">
        <f>_xlfn.IFNA(VLOOKUP(CONCATENATE($A63,"_",SpeciesTraits!$L$3),Chain_forming!$A$3:$H$70,6,FALSE),"")</f>
        <v>Solitary</v>
      </c>
      <c r="P63" s="98" t="str">
        <f>_xlfn.IFNA(VLOOKUP(CONCATENATE($A63,"_",$C$1),Size!$B$3:$F$69,5,FALSE),"")</f>
        <v>cylinder</v>
      </c>
    </row>
    <row r="64" spans="1:16">
      <c r="A64" t="str">
        <f>Species!A43</f>
        <v>Thala_oest</v>
      </c>
      <c r="B64" t="str">
        <f>Species!B43</f>
        <v>Thalassiosira oestrupii</v>
      </c>
      <c r="C64" s="98">
        <f>_xlfn.IFNA(VLOOKUP(CONCATENATE($A64,"_",$C$1),Size!$B$3:$M$75,6,FALSE),"")</f>
        <v>7</v>
      </c>
      <c r="D64" s="98">
        <f>_xlfn.IFNA(VLOOKUP(CONCATENATE($A64,"_",$C$1),Size!$B$3:$M$75,7,FALSE),"")</f>
        <v>60</v>
      </c>
      <c r="E64" s="98">
        <f>_xlfn.IFNA(VLOOKUP(CONCATENATE($A64,"_",$C$1),Size!$B$3:$M$75,8,FALSE),"")</f>
        <v>3.0206903089901371</v>
      </c>
      <c r="F64" s="98">
        <f>_xlfn.IFNA(VLOOKUP(CONCATENATE($A64,"_",$C$1),Size!$B$3:$M$75,9,FALSE),"")</f>
        <v>27.256808892482102</v>
      </c>
      <c r="G64">
        <f>_xlfn.IFNA(VLOOKUP(CONCATENATE($A64,"_",$C$1),Size!$B$3:$M$75,10,FALSE),"")</f>
        <v>1.2380952380952381</v>
      </c>
      <c r="H64" s="98">
        <f>_xlfn.IFNA(VLOOKUP(CONCATENATE($A64,"_",$C$1),Size!$B$3:$M$75,11,FALSE),"")</f>
        <v>0.13333333333333333</v>
      </c>
      <c r="I64" s="98">
        <f>_xlfn.IFNA(VLOOKUP(CONCATENATE($A64,"_",I$3),Spikes!$A$4:$D$75,4,FALSE),"")</f>
        <v>1</v>
      </c>
      <c r="J64" s="98">
        <f>_xlfn.IFNA(VLOOKUP(CONCATENATE($A64,"_",J$3),Spore_forming!$A$4:$D$75,4,FALSE),"")</f>
        <v>1</v>
      </c>
      <c r="K64" s="98">
        <f>_xlfn.IFNA(VLOOKUP(CONCATENATE($A64,"_",$K$3),Stickiness!$A$3:$D$75,4,FALSE),"")</f>
        <v>0</v>
      </c>
      <c r="L64" s="98">
        <f>_xlfn.IFNA(VLOOKUP(CONCATENATE($A64,"_",$L$3),Chain_forming!$A$3:$D$70,4,FALSE),"")</f>
        <v>2</v>
      </c>
      <c r="M64" s="98">
        <f>_xlfn.IFNA(VLOOKUP(CONCATENATE($A64,"_",M$3),Robust!$A$3:$D$70,4,FALSE),"")</f>
        <v>1</v>
      </c>
      <c r="N64" s="98">
        <f>_xlfn.IFNA(VLOOKUP(CONCATENATE($A64,"_",SpeciesTraits!L$3),Chain_forming!$A$3:$H$70,8,FALSE),"")</f>
        <v>1</v>
      </c>
      <c r="O64" s="98" t="str">
        <f>_xlfn.IFNA(VLOOKUP(CONCATENATE($A64,"_",SpeciesTraits!$L$3),Chain_forming!$A$3:$H$70,6,FALSE),"")</f>
        <v>Tube</v>
      </c>
      <c r="P64" s="98" t="str">
        <f>_xlfn.IFNA(VLOOKUP(CONCATENATE($A64,"_",$C$1),Size!$B$3:$F$69,5,FALSE),"")</f>
        <v>cylinder</v>
      </c>
    </row>
    <row r="65" spans="1:16">
      <c r="A65" t="str">
        <f>Species!A35</f>
        <v>Thal_olive</v>
      </c>
      <c r="B65" t="str">
        <f>Species!B35</f>
        <v>Thalassiosira oliveriana</v>
      </c>
      <c r="C65" s="98">
        <f>_xlfn.IFNA(VLOOKUP(CONCATENATE($A65,"_",$C$1),Size!$B$3:$M$75,6,FALSE),"")</f>
        <v>23</v>
      </c>
      <c r="D65" s="98">
        <f>_xlfn.IFNA(VLOOKUP(CONCATENATE($A65,"_",$C$1),Size!$B$3:$M$75,7,FALSE),"")</f>
        <v>60</v>
      </c>
      <c r="E65" s="98">
        <f>_xlfn.IFNA(VLOOKUP(CONCATENATE($A65,"_",$C$1),Size!$B$3:$M$75,8,FALSE),"")</f>
        <v>10.294767505992899</v>
      </c>
      <c r="F65" s="98">
        <f>_xlfn.IFNA(VLOOKUP(CONCATENATE($A65,"_",$C$1),Size!$B$3:$M$75,9,FALSE),"")</f>
        <v>27.256808892482102</v>
      </c>
      <c r="G65">
        <f>_xlfn.IFNA(VLOOKUP(CONCATENATE($A65,"_",$C$1),Size!$B$3:$M$75,10,FALSE),"")</f>
        <v>0.35573122529644269</v>
      </c>
      <c r="H65" s="98">
        <f>_xlfn.IFNA(VLOOKUP(CONCATENATE($A65,"_",$C$1),Size!$B$3:$M$75,11,FALSE),"")</f>
        <v>0.13333333333333333</v>
      </c>
      <c r="I65" s="98">
        <f>_xlfn.IFNA(VLOOKUP(CONCATENATE($A65,"_",I$3),Spikes!$A$4:$D$75,4,FALSE),"")</f>
        <v>1</v>
      </c>
      <c r="J65" s="98">
        <f>_xlfn.IFNA(VLOOKUP(CONCATENATE($A65,"_",J$3),Spore_forming!$A$4:$D$75,4,FALSE),"")</f>
        <v>1</v>
      </c>
      <c r="K65" s="98">
        <f>_xlfn.IFNA(VLOOKUP(CONCATENATE($A65,"_",$K$3),Stickiness!$A$3:$D$75,4,FALSE),"")</f>
        <v>0</v>
      </c>
      <c r="L65" s="98">
        <f>_xlfn.IFNA(VLOOKUP(CONCATENATE($A65,"_",$L$3),Chain_forming!$A$3:$D$70,4,FALSE),"")</f>
        <v>1</v>
      </c>
      <c r="M65" s="98">
        <f>_xlfn.IFNA(VLOOKUP(CONCATENATE($A65,"_",M$3),Robust!$A$3:$D$70,4,FALSE),"")</f>
        <v>1</v>
      </c>
      <c r="N65" s="98">
        <f>_xlfn.IFNA(VLOOKUP(CONCATENATE($A65,"_",SpeciesTraits!L$3),Chain_forming!$A$3:$H$70,8,FALSE),"")</f>
        <v>0</v>
      </c>
      <c r="O65" s="98" t="str">
        <f>_xlfn.IFNA(VLOOKUP(CONCATENATE($A65,"_",SpeciesTraits!$L$3),Chain_forming!$A$3:$H$70,6,FALSE),"")</f>
        <v>Solitary</v>
      </c>
      <c r="P65" s="98" t="str">
        <f>_xlfn.IFNA(VLOOKUP(CONCATENATE($A65,"_",$C$1),Size!$B$3:$F$69,5,FALSE),"")</f>
        <v>cylinder</v>
      </c>
    </row>
    <row r="66" spans="1:16">
      <c r="A66" t="str">
        <f>Species!A16</f>
        <v>Thalas_trif</v>
      </c>
      <c r="B66" t="str">
        <f>Species!B16</f>
        <v>Thalassiosira trifulta</v>
      </c>
      <c r="C66" s="98">
        <f>_xlfn.IFNA(VLOOKUP(CONCATENATE($A66,"_",$C$1),Size!$B$3:$M$75,6,FALSE),"")</f>
        <v>16</v>
      </c>
      <c r="D66" s="98">
        <f>_xlfn.IFNA(VLOOKUP(CONCATENATE($A66,"_",$C$1),Size!$B$3:$M$75,7,FALSE),"")</f>
        <v>58</v>
      </c>
      <c r="E66" s="98">
        <f>_xlfn.IFNA(VLOOKUP(CONCATENATE($A66,"_",$C$1),Size!$B$3:$M$75,8,FALSE),"")</f>
        <v>6.2144650119077163</v>
      </c>
      <c r="F66" s="98">
        <f>_xlfn.IFNA(VLOOKUP(CONCATENATE($A66,"_",$C$1),Size!$B$3:$M$75,9,FALSE),"")</f>
        <v>16.405334869590462</v>
      </c>
      <c r="G66">
        <f>_xlfn.IFNA(VLOOKUP(CONCATENATE($A66,"_",$C$1),Size!$B$3:$M$75,10,FALSE),"")</f>
        <v>0.65</v>
      </c>
      <c r="H66" s="98">
        <f>_xlfn.IFNA(VLOOKUP(CONCATENATE($A66,"_",$C$1),Size!$B$3:$M$75,11,FALSE),"")</f>
        <v>0.35467980295566504</v>
      </c>
      <c r="I66" s="98">
        <f>_xlfn.IFNA(VLOOKUP(CONCATENATE($A66,"_",I$3),Spikes!$A$4:$D$75,4,FALSE),"")</f>
        <v>1</v>
      </c>
      <c r="J66" s="98">
        <f>_xlfn.IFNA(VLOOKUP(CONCATENATE($A66,"_",J$3),Spore_forming!$A$4:$D$75,4,FALSE),"")</f>
        <v>1</v>
      </c>
      <c r="K66" s="98">
        <f>_xlfn.IFNA(VLOOKUP(CONCATENATE($A66,"_",$K$3),Stickiness!$A$3:$D$75,4,FALSE),"")</f>
        <v>0</v>
      </c>
      <c r="L66" s="98">
        <f>_xlfn.IFNA(VLOOKUP(CONCATENATE($A66,"_",$L$3),Chain_forming!$A$3:$D$70,4,FALSE),"")</f>
        <v>1</v>
      </c>
      <c r="M66" s="98">
        <f>_xlfn.IFNA(VLOOKUP(CONCATENATE($A66,"_",M$3),Robust!$A$3:$D$70,4,FALSE),"")</f>
        <v>0.5</v>
      </c>
      <c r="N66" s="98">
        <f>_xlfn.IFNA(VLOOKUP(CONCATENATE($A66,"_",SpeciesTraits!L$3),Chain_forming!$A$3:$H$70,8,FALSE),"")</f>
        <v>0</v>
      </c>
      <c r="O66" s="98" t="str">
        <f>_xlfn.IFNA(VLOOKUP(CONCATENATE($A66,"_",SpeciesTraits!$L$3),Chain_forming!$A$3:$H$70,6,FALSE),"")</f>
        <v>Solitary</v>
      </c>
      <c r="P66" s="98" t="str">
        <f>_xlfn.IFNA(VLOOKUP(CONCATENATE($A66,"_",$C$1),Size!$B$3:$F$69,5,FALSE),"")</f>
        <v>cylinder</v>
      </c>
    </row>
    <row r="67" spans="1:16">
      <c r="A67" t="str">
        <f>Species!A25</f>
        <v>Thalx_antarc</v>
      </c>
      <c r="B67" t="str">
        <f>Species!B25</f>
        <v>Thalassiothrix antarctica</v>
      </c>
      <c r="C67" s="98">
        <f>_xlfn.IFNA(VLOOKUP(CONCATENATE($A67,"_",$C$1),Size!$B$3:$M$75,6,FALSE),"")</f>
        <v>420</v>
      </c>
      <c r="D67" s="98">
        <f>_xlfn.IFNA(VLOOKUP(CONCATENATE($A67,"_",$C$1),Size!$B$3:$M$75,7,FALSE),"")</f>
        <v>5680</v>
      </c>
      <c r="E67" s="98">
        <f>_xlfn.IFNA(VLOOKUP(CONCATENATE($A67,"_",$C$1),Size!$B$3:$M$75,8,FALSE),"")</f>
        <v>6.0876227738699411</v>
      </c>
      <c r="F67" s="98">
        <f>_xlfn.IFNA(VLOOKUP(CONCATENATE($A67,"_",$C$1),Size!$B$3:$M$75,9,FALSE),"")</f>
        <v>36.547197127970968</v>
      </c>
      <c r="G67">
        <f>_xlfn.IFNA(VLOOKUP(CONCATENATE($A67,"_",$C$1),Size!$B$3:$M$75,10,FALSE),"")</f>
        <v>2.6714285714285713</v>
      </c>
      <c r="H67" s="98">
        <f>_xlfn.IFNA(VLOOKUP(CONCATENATE($A67,"_",$C$1),Size!$B$3:$M$75,11,FALSE),"")</f>
        <v>0.66701877934272302</v>
      </c>
      <c r="I67" s="98">
        <f>_xlfn.IFNA(VLOOKUP(CONCATENATE($A67,"_",I$3),Spikes!$A$4:$D$75,4,FALSE),"")</f>
        <v>1</v>
      </c>
      <c r="J67" s="98">
        <f>_xlfn.IFNA(VLOOKUP(CONCATENATE($A67,"_",J$3),Spore_forming!$A$4:$D$75,4,FALSE),"")</f>
        <v>1</v>
      </c>
      <c r="K67" s="98">
        <f>_xlfn.IFNA(VLOOKUP(CONCATENATE($A67,"_",$K$3),Stickiness!$A$3:$D$75,4,FALSE),"")</f>
        <v>1</v>
      </c>
      <c r="L67" s="98">
        <f>_xlfn.IFNA(VLOOKUP(CONCATENATE($A67,"_",$L$3),Chain_forming!$A$3:$D$70,4,FALSE),"")</f>
        <v>2</v>
      </c>
      <c r="M67" s="98">
        <f>_xlfn.IFNA(VLOOKUP(CONCATENATE($A67,"_",M$3),Robust!$A$3:$D$70,4,FALSE),"")</f>
        <v>1</v>
      </c>
      <c r="N67" s="98">
        <f>_xlfn.IFNA(VLOOKUP(CONCATENATE($A67,"_",SpeciesTraits!L$3),Chain_forming!$A$3:$H$70,8,FALSE),"")</f>
        <v>1</v>
      </c>
      <c r="O67" s="98" t="str">
        <f>_xlfn.IFNA(VLOOKUP(CONCATENATE($A67,"_",SpeciesTraits!$L$3),Chain_forming!$A$3:$H$70,6,FALSE),"")</f>
        <v>Mat</v>
      </c>
      <c r="P67" s="98" t="str">
        <f>_xlfn.IFNA(VLOOKUP(CONCATENATE($A67,"_",$C$1),Size!$B$3:$F$69,5,FALSE),"")</f>
        <v>rectangular box</v>
      </c>
    </row>
    <row r="68" spans="1:16">
      <c r="A68" t="str">
        <f>Species!A24</f>
        <v>Thalx_long</v>
      </c>
      <c r="B68" t="str">
        <f>Species!B24</f>
        <v>Thalassiothrix longissima</v>
      </c>
      <c r="C68" s="98">
        <f>_xlfn.IFNA(VLOOKUP(CONCATENATE($A68,"_",$C$1),Size!$B$3:$M$75,6,FALSE),"")</f>
        <v>530</v>
      </c>
      <c r="D68" s="98">
        <f>_xlfn.IFNA(VLOOKUP(CONCATENATE($A68,"_",$C$1),Size!$B$3:$M$75,7,FALSE),"")</f>
        <v>4000</v>
      </c>
      <c r="E68" s="98">
        <f>_xlfn.IFNA(VLOOKUP(CONCATENATE($A68,"_",$C$1),Size!$B$3:$M$75,8,FALSE),"")</f>
        <v>13.033921559207919</v>
      </c>
      <c r="F68" s="98">
        <f>_xlfn.IFNA(VLOOKUP(CONCATENATE($A68,"_",$C$1),Size!$B$3:$M$75,9,FALSE),"")</f>
        <v>34.229999343445023</v>
      </c>
      <c r="G68">
        <f>_xlfn.IFNA(VLOOKUP(CONCATENATE($A68,"_",$C$1),Size!$B$3:$M$75,10,FALSE),"")</f>
        <v>1.089487870619946</v>
      </c>
      <c r="H68" s="98">
        <f>_xlfn.IFNA(VLOOKUP(CONCATENATE($A68,"_",$C$1),Size!$B$3:$M$75,11,FALSE),"")</f>
        <v>0.61954761904761901</v>
      </c>
      <c r="I68" s="98">
        <f>_xlfn.IFNA(VLOOKUP(CONCATENATE($A68,"_",I$3),Spikes!$A$4:$D$75,4,FALSE),"")</f>
        <v>1</v>
      </c>
      <c r="J68" s="98">
        <f>_xlfn.IFNA(VLOOKUP(CONCATENATE($A68,"_",J$3),Spore_forming!$A$4:$D$75,4,FALSE),"")</f>
        <v>1</v>
      </c>
      <c r="K68" s="98">
        <f>_xlfn.IFNA(VLOOKUP(CONCATENATE($A68,"_",$K$3),Stickiness!$A$3:$D$75,4,FALSE),"")</f>
        <v>1</v>
      </c>
      <c r="L68" s="98">
        <f>_xlfn.IFNA(VLOOKUP(CONCATENATE($A68,"_",$L$3),Chain_forming!$A$3:$D$70,4,FALSE),"")</f>
        <v>2</v>
      </c>
      <c r="M68" s="98">
        <f>_xlfn.IFNA(VLOOKUP(CONCATENATE($A68,"_",M$3),Robust!$A$3:$D$70,4,FALSE),"")</f>
        <v>1</v>
      </c>
      <c r="N68" s="98">
        <f>_xlfn.IFNA(VLOOKUP(CONCATENATE($A68,"_",SpeciesTraits!L$3),Chain_forming!$A$3:$H$70,8,FALSE),"")</f>
        <v>1</v>
      </c>
      <c r="O68" s="98" t="str">
        <f>_xlfn.IFNA(VLOOKUP(CONCATENATE($A68,"_",SpeciesTraits!$L$3),Chain_forming!$A$3:$H$70,6,FALSE),"")</f>
        <v>Mat</v>
      </c>
      <c r="P68" s="98" t="str">
        <f>_xlfn.IFNA(VLOOKUP(CONCATENATE($A68,"_",$C$1),Size!$B$3:$F$69,5,FALSE),"")</f>
        <v>rectangular box</v>
      </c>
    </row>
    <row r="69" spans="1:16">
      <c r="A69" t="str">
        <f>Species!A44</f>
        <v>Trich_rein</v>
      </c>
      <c r="B69" t="str">
        <f>Species!B44</f>
        <v xml:space="preserve">Trichotoxon reinboldii </v>
      </c>
      <c r="C69" s="98">
        <f>_xlfn.IFNA(VLOOKUP(CONCATENATE($A69,"_",$C$1),Size!$B$3:$M$75,6,FALSE),"")</f>
        <v>800</v>
      </c>
      <c r="D69" s="98">
        <f>_xlfn.IFNA(VLOOKUP(CONCATENATE($A69,"_",$C$1),Size!$B$3:$M$75,7,FALSE),"")</f>
        <v>3500</v>
      </c>
      <c r="E69" s="98">
        <f>_xlfn.IFNA(VLOOKUP(CONCATENATE($A69,"_",$C$1),Size!$B$3:$M$75,8,FALSE),"")</f>
        <v>18.837494593627721</v>
      </c>
      <c r="F69" s="98">
        <f>_xlfn.IFNA(VLOOKUP(CONCATENATE($A69,"_",$C$1),Size!$B$3:$M$75,9,FALSE),"")</f>
        <v>46.457256616939631</v>
      </c>
      <c r="G69">
        <f>_xlfn.IFNA(VLOOKUP(CONCATENATE($A69,"_",$C$1),Size!$B$3:$M$75,10,FALSE),"")</f>
        <v>0.68821428571428567</v>
      </c>
      <c r="H69" s="98">
        <f>_xlfn.IFNA(VLOOKUP(CONCATENATE($A69,"_",$C$1),Size!$B$3:$M$75,11,FALSE),"")</f>
        <v>0.38390476190476192</v>
      </c>
      <c r="I69" s="98">
        <f>_xlfn.IFNA(VLOOKUP(CONCATENATE($A69,"_",I$3),Spikes!$A$4:$D$75,4,FALSE),"")</f>
        <v>1</v>
      </c>
      <c r="J69" s="98">
        <f>_xlfn.IFNA(VLOOKUP(CONCATENATE($A69,"_",J$3),Spore_forming!$A$4:$D$75,4,FALSE),"")</f>
        <v>1</v>
      </c>
      <c r="K69" s="98">
        <f>_xlfn.IFNA(VLOOKUP(CONCATENATE($A69,"_",$K$3),Stickiness!$A$3:$D$75,4,FALSE),"")</f>
        <v>0</v>
      </c>
      <c r="L69" s="98">
        <f>_xlfn.IFNA(VLOOKUP(CONCATENATE($A69,"_",$L$3),Chain_forming!$A$3:$D$70,4,FALSE),"")</f>
        <v>2</v>
      </c>
      <c r="M69" s="98">
        <f>_xlfn.IFNA(VLOOKUP(CONCATENATE($A69,"_",M$3),Robust!$A$3:$D$70,4,FALSE),"")</f>
        <v>1</v>
      </c>
      <c r="N69" s="98">
        <f>_xlfn.IFNA(VLOOKUP(CONCATENATE($A69,"_",SpeciesTraits!L$3),Chain_forming!$A$3:$H$70,8,FALSE),"")</f>
        <v>1</v>
      </c>
      <c r="O69" s="98" t="str">
        <f>_xlfn.IFNA(VLOOKUP(CONCATENATE($A69,"_",SpeciesTraits!$L$3),Chain_forming!$A$3:$H$70,6,FALSE),"")</f>
        <v>Cloud</v>
      </c>
      <c r="P69" s="98" t="str">
        <f>_xlfn.IFNA(VLOOKUP(CONCATENATE($A69,"_",$C$1),Size!$B$3:$F$69,5,FALSE),"")</f>
        <v>rectangular box</v>
      </c>
    </row>
  </sheetData>
  <sortState xmlns:xlrd2="http://schemas.microsoft.com/office/spreadsheetml/2017/richdata2" ref="A4:P69">
    <sortCondition ref="B4:B69"/>
  </sortState>
  <conditionalFormatting sqref="G4:G69">
    <cfRule type="cellIs" dxfId="0" priority="1" operator="lessThan">
      <formula>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CDA70-C8A9-B143-A0F8-23E2704D8B71}">
  <dimension ref="A1:G76"/>
  <sheetViews>
    <sheetView workbookViewId="0">
      <selection activeCell="H2" sqref="H2:I4"/>
    </sheetView>
  </sheetViews>
  <sheetFormatPr defaultColWidth="11" defaultRowHeight="15.75"/>
  <cols>
    <col min="1" max="1" width="11.875" bestFit="1" customWidth="1"/>
    <col min="2" max="2" width="35.875" bestFit="1" customWidth="1"/>
    <col min="3" max="3" width="24.125" bestFit="1" customWidth="1"/>
    <col min="4" max="4" width="17.875" bestFit="1" customWidth="1"/>
    <col min="6" max="6" width="80" bestFit="1" customWidth="1"/>
    <col min="7" max="7" width="9.625" customWidth="1"/>
    <col min="8" max="8" width="3.625" customWidth="1"/>
  </cols>
  <sheetData>
    <row r="1" spans="1:7">
      <c r="A1" s="4" t="s">
        <v>81</v>
      </c>
      <c r="B1" s="4" t="s">
        <v>10</v>
      </c>
      <c r="C1" s="4" t="s">
        <v>84</v>
      </c>
      <c r="D1" s="4" t="s">
        <v>85</v>
      </c>
      <c r="E1" s="4" t="s">
        <v>79</v>
      </c>
      <c r="F1" s="4" t="s">
        <v>104</v>
      </c>
      <c r="G1" s="4"/>
    </row>
    <row r="2" spans="1:7">
      <c r="A2" s="1" t="s">
        <v>60</v>
      </c>
      <c r="B2" s="9" t="s">
        <v>58</v>
      </c>
    </row>
    <row r="3" spans="1:7">
      <c r="A3" s="1" t="s">
        <v>61</v>
      </c>
      <c r="B3" s="9" t="s">
        <v>429</v>
      </c>
      <c r="C3" t="s">
        <v>87</v>
      </c>
      <c r="D3" t="s">
        <v>86</v>
      </c>
      <c r="E3">
        <v>3</v>
      </c>
    </row>
    <row r="4" spans="1:7">
      <c r="A4" s="1" t="s">
        <v>62</v>
      </c>
      <c r="B4" s="9" t="s">
        <v>430</v>
      </c>
      <c r="C4" s="13" t="s">
        <v>98</v>
      </c>
      <c r="D4" t="s">
        <v>97</v>
      </c>
      <c r="E4">
        <v>3</v>
      </c>
      <c r="F4" t="s">
        <v>105</v>
      </c>
    </row>
    <row r="5" spans="1:7">
      <c r="A5" s="1" t="s">
        <v>63</v>
      </c>
      <c r="B5" s="9" t="s">
        <v>59</v>
      </c>
    </row>
    <row r="6" spans="1:7">
      <c r="A6" s="1" t="s">
        <v>64</v>
      </c>
      <c r="B6" s="9" t="s">
        <v>54</v>
      </c>
    </row>
    <row r="7" spans="1:7">
      <c r="A7" s="1" t="s">
        <v>65</v>
      </c>
      <c r="B7" s="9" t="s">
        <v>55</v>
      </c>
    </row>
    <row r="8" spans="1:7">
      <c r="A8" s="1" t="s">
        <v>66</v>
      </c>
      <c r="B8" s="9" t="s">
        <v>56</v>
      </c>
    </row>
    <row r="9" spans="1:7">
      <c r="A9" s="1" t="s">
        <v>42</v>
      </c>
      <c r="B9" s="2" t="s">
        <v>14</v>
      </c>
      <c r="C9" t="s">
        <v>106</v>
      </c>
      <c r="E9">
        <v>3</v>
      </c>
    </row>
    <row r="10" spans="1:7">
      <c r="A10" s="1" t="s">
        <v>43</v>
      </c>
      <c r="B10" s="2" t="s">
        <v>15</v>
      </c>
      <c r="C10" s="13" t="s">
        <v>115</v>
      </c>
      <c r="D10" s="13" t="s">
        <v>114</v>
      </c>
      <c r="E10">
        <v>3</v>
      </c>
    </row>
    <row r="11" spans="1:7">
      <c r="A11" s="1" t="s">
        <v>44</v>
      </c>
      <c r="B11" s="15" t="s">
        <v>16</v>
      </c>
    </row>
    <row r="12" spans="1:7">
      <c r="A12" s="1" t="s">
        <v>45</v>
      </c>
      <c r="B12" s="2" t="s">
        <v>17</v>
      </c>
    </row>
    <row r="13" spans="1:7">
      <c r="A13" s="1" t="s">
        <v>46</v>
      </c>
      <c r="B13" s="2" t="s">
        <v>18</v>
      </c>
      <c r="C13" s="13" t="s">
        <v>121</v>
      </c>
      <c r="D13" t="s">
        <v>120</v>
      </c>
      <c r="E13">
        <v>3</v>
      </c>
    </row>
    <row r="14" spans="1:7">
      <c r="A14" s="1" t="s">
        <v>47</v>
      </c>
      <c r="B14" s="2" t="s">
        <v>19</v>
      </c>
    </row>
    <row r="15" spans="1:7">
      <c r="A15" s="1" t="s">
        <v>48</v>
      </c>
      <c r="B15" s="2" t="s">
        <v>20</v>
      </c>
    </row>
    <row r="16" spans="1:7">
      <c r="A16" s="1" t="s">
        <v>49</v>
      </c>
      <c r="B16" s="2" t="s">
        <v>21</v>
      </c>
    </row>
    <row r="17" spans="1:6">
      <c r="A17" s="1" t="s">
        <v>50</v>
      </c>
      <c r="B17" s="2" t="s">
        <v>432</v>
      </c>
    </row>
    <row r="18" spans="1:6">
      <c r="A18" s="1" t="s">
        <v>38</v>
      </c>
      <c r="B18" s="2" t="s">
        <v>292</v>
      </c>
      <c r="C18" s="13" t="s">
        <v>123</v>
      </c>
      <c r="E18">
        <v>3</v>
      </c>
    </row>
    <row r="19" spans="1:6">
      <c r="A19" s="1" t="s">
        <v>39</v>
      </c>
      <c r="B19" s="2" t="s">
        <v>1</v>
      </c>
      <c r="C19" s="13" t="s">
        <v>126</v>
      </c>
      <c r="E19">
        <v>3</v>
      </c>
    </row>
    <row r="20" spans="1:6">
      <c r="A20" s="1" t="s">
        <v>32</v>
      </c>
      <c r="B20" s="2" t="s">
        <v>3</v>
      </c>
    </row>
    <row r="21" spans="1:6">
      <c r="A21" s="1" t="s">
        <v>36</v>
      </c>
      <c r="B21" s="2" t="s">
        <v>431</v>
      </c>
    </row>
    <row r="22" spans="1:6">
      <c r="A22" s="1" t="s">
        <v>37</v>
      </c>
      <c r="B22" s="2" t="s">
        <v>111</v>
      </c>
      <c r="C22" t="s">
        <v>127</v>
      </c>
      <c r="D22" s="13" t="s">
        <v>128</v>
      </c>
      <c r="E22">
        <v>3</v>
      </c>
      <c r="F22" t="s">
        <v>133</v>
      </c>
    </row>
    <row r="23" spans="1:6">
      <c r="A23" s="1" t="s">
        <v>393</v>
      </c>
      <c r="B23" s="2" t="s">
        <v>112</v>
      </c>
    </row>
    <row r="24" spans="1:6">
      <c r="A24" s="1" t="s">
        <v>40</v>
      </c>
      <c r="B24" s="2" t="s">
        <v>75</v>
      </c>
      <c r="F24" t="s">
        <v>134</v>
      </c>
    </row>
    <row r="25" spans="1:6">
      <c r="A25" s="1" t="s">
        <v>136</v>
      </c>
      <c r="B25" s="2" t="s">
        <v>427</v>
      </c>
      <c r="C25" t="s">
        <v>137</v>
      </c>
      <c r="E25">
        <v>3</v>
      </c>
      <c r="F25" t="s">
        <v>138</v>
      </c>
    </row>
    <row r="26" spans="1:6">
      <c r="A26" s="1" t="s">
        <v>142</v>
      </c>
      <c r="B26" s="2" t="s">
        <v>70</v>
      </c>
      <c r="C26" s="13" t="s">
        <v>144</v>
      </c>
      <c r="D26" s="13" t="s">
        <v>143</v>
      </c>
      <c r="E26">
        <v>3</v>
      </c>
    </row>
    <row r="27" spans="1:6">
      <c r="A27" s="1" t="s">
        <v>146</v>
      </c>
      <c r="B27" s="2" t="s">
        <v>147</v>
      </c>
      <c r="C27" s="13" t="s">
        <v>148</v>
      </c>
      <c r="D27" s="13" t="s">
        <v>149</v>
      </c>
      <c r="E27">
        <v>3</v>
      </c>
    </row>
    <row r="28" spans="1:6">
      <c r="A28" s="1" t="s">
        <v>153</v>
      </c>
      <c r="B28" s="2" t="s">
        <v>150</v>
      </c>
      <c r="C28" s="13" t="s">
        <v>151</v>
      </c>
      <c r="D28" s="13" t="s">
        <v>152</v>
      </c>
      <c r="E28">
        <v>3</v>
      </c>
    </row>
    <row r="29" spans="1:6">
      <c r="A29" s="1" t="s">
        <v>157</v>
      </c>
      <c r="B29" s="2" t="s">
        <v>156</v>
      </c>
      <c r="C29" s="13" t="s">
        <v>158</v>
      </c>
      <c r="D29" s="13" t="s">
        <v>159</v>
      </c>
      <c r="E29">
        <v>3</v>
      </c>
    </row>
    <row r="30" spans="1:6">
      <c r="A30" s="1" t="s">
        <v>161</v>
      </c>
      <c r="B30" s="2" t="s">
        <v>162</v>
      </c>
      <c r="D30" s="13" t="s">
        <v>163</v>
      </c>
      <c r="E30">
        <v>3</v>
      </c>
      <c r="F30" t="s">
        <v>164</v>
      </c>
    </row>
    <row r="31" spans="1:6">
      <c r="A31" s="1" t="s">
        <v>165</v>
      </c>
      <c r="B31" s="2" t="s">
        <v>166</v>
      </c>
      <c r="D31" s="13" t="s">
        <v>167</v>
      </c>
      <c r="E31">
        <v>3</v>
      </c>
    </row>
    <row r="32" spans="1:6">
      <c r="A32" s="1" t="s">
        <v>169</v>
      </c>
      <c r="B32" s="2" t="s">
        <v>170</v>
      </c>
      <c r="C32" s="13" t="s">
        <v>171</v>
      </c>
      <c r="E32">
        <v>3</v>
      </c>
    </row>
    <row r="33" spans="1:6">
      <c r="A33" s="1" t="s">
        <v>172</v>
      </c>
      <c r="B33" s="2" t="s">
        <v>71</v>
      </c>
      <c r="C33" s="13" t="s">
        <v>173</v>
      </c>
      <c r="D33" s="13" t="s">
        <v>174</v>
      </c>
      <c r="E33">
        <v>3</v>
      </c>
      <c r="F33" t="s">
        <v>175</v>
      </c>
    </row>
    <row r="34" spans="1:6">
      <c r="A34" s="1" t="s">
        <v>179</v>
      </c>
      <c r="B34" s="2" t="s">
        <v>178</v>
      </c>
      <c r="C34" s="13" t="s">
        <v>180</v>
      </c>
      <c r="D34" s="13" t="s">
        <v>181</v>
      </c>
      <c r="E34">
        <v>3</v>
      </c>
    </row>
    <row r="35" spans="1:6">
      <c r="A35" s="1" t="s">
        <v>182</v>
      </c>
      <c r="B35" s="2" t="s">
        <v>183</v>
      </c>
      <c r="C35" s="13" t="s">
        <v>184</v>
      </c>
      <c r="D35" s="13" t="s">
        <v>185</v>
      </c>
      <c r="E35">
        <v>3</v>
      </c>
    </row>
    <row r="36" spans="1:6">
      <c r="A36" s="1" t="s">
        <v>33</v>
      </c>
      <c r="B36" s="2" t="s">
        <v>2</v>
      </c>
      <c r="C36" s="13" t="s">
        <v>187</v>
      </c>
      <c r="E36">
        <v>3</v>
      </c>
    </row>
    <row r="37" spans="1:6">
      <c r="A37" s="1" t="s">
        <v>192</v>
      </c>
      <c r="B37" s="2" t="s">
        <v>74</v>
      </c>
      <c r="C37" s="13" t="s">
        <v>193</v>
      </c>
      <c r="D37" s="13" t="s">
        <v>194</v>
      </c>
      <c r="E37">
        <v>3</v>
      </c>
    </row>
    <row r="38" spans="1:6">
      <c r="A38" s="1" t="s">
        <v>195</v>
      </c>
      <c r="B38" s="2" t="s">
        <v>72</v>
      </c>
      <c r="E38">
        <v>3</v>
      </c>
    </row>
    <row r="39" spans="1:6">
      <c r="A39" s="1" t="s">
        <v>197</v>
      </c>
      <c r="B39" s="2" t="s">
        <v>196</v>
      </c>
      <c r="C39" s="13" t="s">
        <v>198</v>
      </c>
      <c r="E39">
        <v>3</v>
      </c>
    </row>
    <row r="40" spans="1:6">
      <c r="A40" s="1" t="s">
        <v>200</v>
      </c>
      <c r="B40" s="2" t="s">
        <v>73</v>
      </c>
      <c r="C40" s="13" t="s">
        <v>201</v>
      </c>
      <c r="E40">
        <v>3</v>
      </c>
    </row>
    <row r="41" spans="1:6">
      <c r="A41" s="1" t="s">
        <v>203</v>
      </c>
      <c r="B41" s="2" t="s">
        <v>204</v>
      </c>
    </row>
    <row r="42" spans="1:6">
      <c r="A42" s="1" t="s">
        <v>208</v>
      </c>
      <c r="B42" s="2" t="s">
        <v>206</v>
      </c>
      <c r="C42" s="13" t="s">
        <v>207</v>
      </c>
      <c r="E42">
        <v>3</v>
      </c>
    </row>
    <row r="43" spans="1:6">
      <c r="A43" s="1" t="s">
        <v>355</v>
      </c>
      <c r="B43" s="2" t="s">
        <v>354</v>
      </c>
      <c r="C43" s="13" t="s">
        <v>209</v>
      </c>
      <c r="D43" s="13" t="s">
        <v>210</v>
      </c>
      <c r="E43">
        <v>3</v>
      </c>
    </row>
    <row r="44" spans="1:6">
      <c r="A44" s="1" t="s">
        <v>213</v>
      </c>
      <c r="B44" s="2" t="s">
        <v>212</v>
      </c>
      <c r="C44" s="13" t="s">
        <v>214</v>
      </c>
      <c r="D44" s="13" t="s">
        <v>215</v>
      </c>
      <c r="E44">
        <v>3</v>
      </c>
    </row>
    <row r="45" spans="1:6">
      <c r="A45" s="1" t="s">
        <v>218</v>
      </c>
      <c r="B45" s="2" t="s">
        <v>219</v>
      </c>
      <c r="E45">
        <v>3</v>
      </c>
    </row>
    <row r="46" spans="1:6">
      <c r="A46" s="1" t="s">
        <v>225</v>
      </c>
      <c r="B46" s="2" t="s">
        <v>221</v>
      </c>
      <c r="C46" t="s">
        <v>231</v>
      </c>
      <c r="E46">
        <v>3</v>
      </c>
    </row>
    <row r="47" spans="1:6">
      <c r="A47" s="1" t="s">
        <v>226</v>
      </c>
      <c r="B47" s="2" t="s">
        <v>222</v>
      </c>
      <c r="C47" s="13" t="s">
        <v>230</v>
      </c>
      <c r="E47">
        <v>3</v>
      </c>
    </row>
    <row r="48" spans="1:6">
      <c r="A48" s="1" t="s">
        <v>227</v>
      </c>
      <c r="B48" s="2" t="s">
        <v>223</v>
      </c>
      <c r="E48">
        <v>3</v>
      </c>
    </row>
    <row r="49" spans="1:6">
      <c r="A49" s="1" t="s">
        <v>228</v>
      </c>
      <c r="B49" s="2" t="s">
        <v>224</v>
      </c>
    </row>
    <row r="50" spans="1:6">
      <c r="A50" s="8" t="s">
        <v>263</v>
      </c>
      <c r="B50" s="6" t="s">
        <v>259</v>
      </c>
      <c r="C50" t="s">
        <v>268</v>
      </c>
      <c r="D50" s="13" t="s">
        <v>269</v>
      </c>
      <c r="E50">
        <v>3</v>
      </c>
    </row>
    <row r="51" spans="1:6">
      <c r="A51" s="8" t="s">
        <v>35</v>
      </c>
      <c r="B51" s="6" t="s">
        <v>53</v>
      </c>
      <c r="C51" t="s">
        <v>270</v>
      </c>
      <c r="D51" s="13" t="s">
        <v>271</v>
      </c>
      <c r="E51">
        <v>3</v>
      </c>
    </row>
    <row r="52" spans="1:6">
      <c r="A52" s="8" t="s">
        <v>264</v>
      </c>
      <c r="B52" s="6" t="s">
        <v>260</v>
      </c>
      <c r="C52" s="13" t="s">
        <v>272</v>
      </c>
      <c r="E52">
        <v>3</v>
      </c>
    </row>
    <row r="53" spans="1:6">
      <c r="A53" s="8" t="s">
        <v>265</v>
      </c>
      <c r="B53" s="6" t="s">
        <v>261</v>
      </c>
      <c r="C53" s="13" t="s">
        <v>273</v>
      </c>
      <c r="E53">
        <v>3</v>
      </c>
      <c r="F53" t="s">
        <v>274</v>
      </c>
    </row>
    <row r="54" spans="1:6">
      <c r="A54" s="1" t="s">
        <v>34</v>
      </c>
      <c r="B54" s="2" t="s">
        <v>5</v>
      </c>
    </row>
    <row r="55" spans="1:6">
      <c r="A55" s="1" t="s">
        <v>275</v>
      </c>
      <c r="B55" s="2" t="s">
        <v>276</v>
      </c>
      <c r="C55" t="s">
        <v>281</v>
      </c>
      <c r="D55" s="13" t="s">
        <v>282</v>
      </c>
      <c r="E55">
        <v>3</v>
      </c>
    </row>
    <row r="56" spans="1:6">
      <c r="A56" s="1" t="s">
        <v>278</v>
      </c>
      <c r="B56" s="2" t="s">
        <v>279</v>
      </c>
      <c r="C56" s="13" t="s">
        <v>277</v>
      </c>
      <c r="E56">
        <v>3</v>
      </c>
    </row>
    <row r="57" spans="1:6">
      <c r="A57" s="1" t="s">
        <v>293</v>
      </c>
      <c r="B57" s="2" t="s">
        <v>69</v>
      </c>
      <c r="C57" s="13" t="s">
        <v>294</v>
      </c>
      <c r="D57" s="13" t="s">
        <v>295</v>
      </c>
      <c r="E57">
        <v>3</v>
      </c>
      <c r="F57" t="s">
        <v>296</v>
      </c>
    </row>
    <row r="58" spans="1:6">
      <c r="A58" s="1" t="s">
        <v>300</v>
      </c>
      <c r="B58" s="2" t="s">
        <v>68</v>
      </c>
      <c r="C58" s="13" t="s">
        <v>301</v>
      </c>
      <c r="E58">
        <v>3</v>
      </c>
    </row>
    <row r="59" spans="1:6">
      <c r="A59" s="1" t="s">
        <v>305</v>
      </c>
      <c r="B59" s="2" t="s">
        <v>306</v>
      </c>
      <c r="C59" s="13" t="s">
        <v>307</v>
      </c>
      <c r="D59" s="13" t="s">
        <v>308</v>
      </c>
      <c r="E59">
        <v>3</v>
      </c>
    </row>
    <row r="60" spans="1:6">
      <c r="A60" s="1" t="s">
        <v>309</v>
      </c>
      <c r="B60" s="6" t="s">
        <v>310</v>
      </c>
      <c r="C60" s="13" t="s">
        <v>311</v>
      </c>
      <c r="D60" s="13" t="s">
        <v>311</v>
      </c>
      <c r="E60">
        <v>3</v>
      </c>
      <c r="F60" s="14" t="s">
        <v>313</v>
      </c>
    </row>
    <row r="61" spans="1:6">
      <c r="A61" s="1" t="s">
        <v>394</v>
      </c>
      <c r="B61" s="2" t="s">
        <v>395</v>
      </c>
      <c r="C61" s="13" t="s">
        <v>396</v>
      </c>
      <c r="E61">
        <v>3</v>
      </c>
    </row>
    <row r="62" spans="1:6">
      <c r="A62" s="1" t="s">
        <v>409</v>
      </c>
      <c r="B62" s="2" t="s">
        <v>77</v>
      </c>
      <c r="C62" s="13" t="s">
        <v>414</v>
      </c>
      <c r="E62">
        <v>3</v>
      </c>
    </row>
    <row r="63" spans="1:6">
      <c r="A63" s="1" t="s">
        <v>410</v>
      </c>
      <c r="B63" s="2" t="s">
        <v>67</v>
      </c>
      <c r="C63" s="13" t="s">
        <v>420</v>
      </c>
      <c r="E63">
        <v>3</v>
      </c>
    </row>
    <row r="64" spans="1:6">
      <c r="A64" s="1" t="s">
        <v>411</v>
      </c>
      <c r="B64" s="2" t="s">
        <v>76</v>
      </c>
    </row>
    <row r="65" spans="1:5">
      <c r="A65" s="1" t="s">
        <v>412</v>
      </c>
      <c r="B65" s="2" t="s">
        <v>406</v>
      </c>
    </row>
    <row r="66" spans="1:5">
      <c r="A66" s="1" t="s">
        <v>41</v>
      </c>
      <c r="B66" s="2" t="s">
        <v>428</v>
      </c>
    </row>
    <row r="67" spans="1:5">
      <c r="A67" s="1" t="s">
        <v>413</v>
      </c>
      <c r="B67" s="2" t="s">
        <v>408</v>
      </c>
      <c r="C67" s="13" t="s">
        <v>423</v>
      </c>
      <c r="E67">
        <v>3</v>
      </c>
    </row>
    <row r="68" spans="1:5">
      <c r="A68" s="1"/>
      <c r="B68" s="2"/>
    </row>
    <row r="70" spans="1:5">
      <c r="B70" s="2"/>
    </row>
    <row r="71" spans="1:5">
      <c r="B71" s="2"/>
    </row>
    <row r="72" spans="1:5">
      <c r="B72" s="2"/>
    </row>
    <row r="73" spans="1:5">
      <c r="B73" s="2"/>
    </row>
    <row r="74" spans="1:5">
      <c r="B74" s="2"/>
    </row>
    <row r="75" spans="1:5">
      <c r="B75" s="2"/>
    </row>
    <row r="76" spans="1:5">
      <c r="B76" s="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2542D-E144-C440-8363-DDDC51ED2702}">
  <dimension ref="A1:F70"/>
  <sheetViews>
    <sheetView topLeftCell="A57" workbookViewId="0">
      <selection activeCell="F18" sqref="F18"/>
    </sheetView>
  </sheetViews>
  <sheetFormatPr defaultColWidth="11" defaultRowHeight="15.75"/>
  <cols>
    <col min="1" max="1" width="21" bestFit="1" customWidth="1"/>
    <col min="3" max="3" width="32.125" bestFit="1" customWidth="1"/>
    <col min="4" max="4" width="6.5" bestFit="1" customWidth="1"/>
    <col min="5" max="5" width="23.125" bestFit="1" customWidth="1"/>
  </cols>
  <sheetData>
    <row r="1" spans="1:6">
      <c r="A1" s="11" t="s">
        <v>95</v>
      </c>
    </row>
    <row r="2" spans="1:6">
      <c r="B2" s="11"/>
      <c r="D2" t="s">
        <v>402</v>
      </c>
    </row>
    <row r="3" spans="1:6">
      <c r="A3" s="4" t="s">
        <v>377</v>
      </c>
      <c r="B3" s="4" t="s">
        <v>81</v>
      </c>
      <c r="C3" s="4" t="s">
        <v>10</v>
      </c>
      <c r="D3" s="4" t="s">
        <v>99</v>
      </c>
      <c r="E3" s="4" t="s">
        <v>116</v>
      </c>
      <c r="F3" s="4" t="s">
        <v>79</v>
      </c>
    </row>
    <row r="4" spans="1:6">
      <c r="A4" t="str">
        <f>CONCATENATE(B4,"_Spikes")</f>
        <v>Chaet_flex_Spikes</v>
      </c>
      <c r="B4" s="1" t="s">
        <v>60</v>
      </c>
      <c r="C4" s="9" t="s">
        <v>58</v>
      </c>
      <c r="D4">
        <v>2</v>
      </c>
      <c r="E4" t="s">
        <v>100</v>
      </c>
      <c r="F4" t="s">
        <v>107</v>
      </c>
    </row>
    <row r="5" spans="1:6">
      <c r="A5" t="str">
        <f t="shared" ref="A5:A68" si="0">CONCATENATE(B5,"_Spikes")</f>
        <v>Chaet_grac_Spikes</v>
      </c>
      <c r="B5" s="1" t="s">
        <v>61</v>
      </c>
      <c r="C5" s="9" t="s">
        <v>52</v>
      </c>
      <c r="D5">
        <v>2</v>
      </c>
      <c r="E5" t="s">
        <v>100</v>
      </c>
      <c r="F5">
        <v>3</v>
      </c>
    </row>
    <row r="6" spans="1:6">
      <c r="A6" t="str">
        <f t="shared" si="0"/>
        <v>Prob_inerm_Spikes</v>
      </c>
      <c r="B6" s="1" t="s">
        <v>62</v>
      </c>
      <c r="C6" s="9" t="s">
        <v>57</v>
      </c>
      <c r="D6">
        <v>1</v>
      </c>
      <c r="E6" t="s">
        <v>101</v>
      </c>
      <c r="F6" t="s">
        <v>107</v>
      </c>
    </row>
    <row r="7" spans="1:6">
      <c r="A7" t="str">
        <f t="shared" si="0"/>
        <v>Frag_island_Spikes</v>
      </c>
      <c r="B7" s="1" t="s">
        <v>63</v>
      </c>
      <c r="C7" s="9" t="s">
        <v>59</v>
      </c>
      <c r="D7">
        <v>1</v>
      </c>
    </row>
    <row r="8" spans="1:6">
      <c r="A8" t="str">
        <f t="shared" si="0"/>
        <v>Phae_antarc_Spikes</v>
      </c>
      <c r="B8" s="1" t="s">
        <v>64</v>
      </c>
      <c r="C8" s="9" t="s">
        <v>54</v>
      </c>
      <c r="D8">
        <v>1</v>
      </c>
    </row>
    <row r="9" spans="1:6">
      <c r="A9" t="str">
        <f t="shared" si="0"/>
        <v>Frag_sp5_Spikes</v>
      </c>
      <c r="B9" s="1" t="s">
        <v>65</v>
      </c>
      <c r="C9" s="9" t="s">
        <v>55</v>
      </c>
      <c r="D9">
        <v>1</v>
      </c>
    </row>
    <row r="10" spans="1:6">
      <c r="A10" t="str">
        <f t="shared" si="0"/>
        <v>Lennox_fav_Spikes</v>
      </c>
      <c r="B10" s="1" t="s">
        <v>66</v>
      </c>
      <c r="C10" s="9" t="s">
        <v>56</v>
      </c>
      <c r="D10">
        <v>1</v>
      </c>
    </row>
    <row r="11" spans="1:6">
      <c r="A11" t="str">
        <f t="shared" si="0"/>
        <v>Actino_curv_Spikes</v>
      </c>
      <c r="B11" s="1" t="s">
        <v>42</v>
      </c>
      <c r="C11" s="2" t="s">
        <v>14</v>
      </c>
      <c r="D11">
        <v>1</v>
      </c>
      <c r="F11" t="s">
        <v>107</v>
      </c>
    </row>
    <row r="12" spans="1:6">
      <c r="A12" t="str">
        <f t="shared" si="0"/>
        <v>Astero_hept_Spikes</v>
      </c>
      <c r="B12" s="1" t="s">
        <v>43</v>
      </c>
      <c r="C12" s="2" t="s">
        <v>15</v>
      </c>
      <c r="D12">
        <v>1</v>
      </c>
      <c r="F12" t="s">
        <v>107</v>
      </c>
    </row>
    <row r="13" spans="1:6">
      <c r="A13" t="str">
        <f t="shared" si="0"/>
        <v>Astero_robust_Spikes</v>
      </c>
      <c r="B13" s="1" t="s">
        <v>44</v>
      </c>
      <c r="C13" s="2" t="s">
        <v>16</v>
      </c>
      <c r="D13">
        <v>1</v>
      </c>
      <c r="E13" t="s">
        <v>117</v>
      </c>
      <c r="F13" t="s">
        <v>107</v>
      </c>
    </row>
    <row r="14" spans="1:6">
      <c r="A14" t="str">
        <f t="shared" si="0"/>
        <v>Coscino_marg_Spikes</v>
      </c>
      <c r="B14" s="1" t="s">
        <v>45</v>
      </c>
      <c r="C14" s="2" t="s">
        <v>17</v>
      </c>
      <c r="D14">
        <v>1</v>
      </c>
      <c r="F14" t="s">
        <v>107</v>
      </c>
    </row>
    <row r="15" spans="1:6">
      <c r="A15" t="str">
        <f t="shared" si="0"/>
        <v>Coscino_oculus_Spikes</v>
      </c>
      <c r="B15" s="1" t="s">
        <v>46</v>
      </c>
      <c r="C15" s="2" t="s">
        <v>18</v>
      </c>
      <c r="D15">
        <v>1</v>
      </c>
      <c r="F15" t="s">
        <v>107</v>
      </c>
    </row>
    <row r="16" spans="1:6">
      <c r="A16" t="str">
        <f t="shared" si="0"/>
        <v>Coscino_spp20_Spikes</v>
      </c>
      <c r="B16" s="1" t="s">
        <v>47</v>
      </c>
      <c r="C16" s="2" t="s">
        <v>19</v>
      </c>
      <c r="D16">
        <v>1</v>
      </c>
      <c r="E16" t="s">
        <v>117</v>
      </c>
      <c r="F16" t="s">
        <v>107</v>
      </c>
    </row>
    <row r="17" spans="1:6">
      <c r="A17" t="str">
        <f t="shared" si="0"/>
        <v>Podo_elegans_Spikes</v>
      </c>
      <c r="B17" s="1" t="s">
        <v>48</v>
      </c>
      <c r="C17" s="2" t="s">
        <v>20</v>
      </c>
      <c r="D17">
        <v>1</v>
      </c>
      <c r="F17">
        <v>13</v>
      </c>
    </row>
    <row r="18" spans="1:6">
      <c r="A18" t="str">
        <f t="shared" si="0"/>
        <v>Thalas_trif_Spikes</v>
      </c>
      <c r="B18" s="1" t="s">
        <v>49</v>
      </c>
      <c r="C18" s="2" t="s">
        <v>21</v>
      </c>
      <c r="D18">
        <v>1</v>
      </c>
      <c r="F18" t="s">
        <v>107</v>
      </c>
    </row>
    <row r="19" spans="1:6">
      <c r="A19" t="str">
        <f t="shared" si="0"/>
        <v>Nitz_spp_Spikes</v>
      </c>
      <c r="B19" s="1" t="s">
        <v>50</v>
      </c>
      <c r="C19" s="2" t="s">
        <v>22</v>
      </c>
      <c r="D19">
        <v>1</v>
      </c>
    </row>
    <row r="20" spans="1:6">
      <c r="A20" t="str">
        <f t="shared" si="0"/>
        <v>Thala_antarc_Spikes</v>
      </c>
      <c r="B20" s="1" t="s">
        <v>38</v>
      </c>
      <c r="C20" s="2" t="s">
        <v>7</v>
      </c>
      <c r="D20">
        <v>1</v>
      </c>
      <c r="F20" t="s">
        <v>107</v>
      </c>
    </row>
    <row r="21" spans="1:6">
      <c r="A21" t="str">
        <f t="shared" si="0"/>
        <v>Thala_grav_Spikes</v>
      </c>
      <c r="B21" s="1" t="s">
        <v>39</v>
      </c>
      <c r="C21" s="2" t="s">
        <v>8</v>
      </c>
      <c r="D21">
        <v>1</v>
      </c>
      <c r="F21" t="s">
        <v>107</v>
      </c>
    </row>
    <row r="22" spans="1:6">
      <c r="A22" t="str">
        <f t="shared" si="0"/>
        <v>Bact_bath_Spikes</v>
      </c>
      <c r="B22" s="1" t="s">
        <v>32</v>
      </c>
      <c r="C22" s="2" t="s">
        <v>3</v>
      </c>
      <c r="D22">
        <v>1</v>
      </c>
    </row>
    <row r="23" spans="1:6">
      <c r="A23" t="str">
        <f t="shared" si="0"/>
        <v>Neo_sem_Spikes</v>
      </c>
      <c r="B23" s="1" t="s">
        <v>36</v>
      </c>
      <c r="C23" s="2" t="s">
        <v>6</v>
      </c>
      <c r="D23">
        <v>1</v>
      </c>
    </row>
    <row r="24" spans="1:6">
      <c r="A24" t="str">
        <f t="shared" si="0"/>
        <v>Rhizo_heb_semi_Spikes</v>
      </c>
      <c r="B24" s="1" t="s">
        <v>37</v>
      </c>
      <c r="C24" s="2" t="s">
        <v>111</v>
      </c>
      <c r="D24">
        <v>2</v>
      </c>
      <c r="E24" t="s">
        <v>129</v>
      </c>
      <c r="F24">
        <v>3</v>
      </c>
    </row>
    <row r="25" spans="1:6">
      <c r="A25" t="str">
        <f t="shared" si="0"/>
        <v>Rhizo_heb_hiem_Spikes</v>
      </c>
      <c r="B25" s="1" t="s">
        <v>393</v>
      </c>
      <c r="C25" s="2" t="s">
        <v>112</v>
      </c>
      <c r="D25">
        <v>1</v>
      </c>
    </row>
    <row r="26" spans="1:6">
      <c r="A26" t="str">
        <f t="shared" si="0"/>
        <v>Thalx_long_Spikes</v>
      </c>
      <c r="B26" s="1" t="s">
        <v>40</v>
      </c>
      <c r="C26" s="2" t="s">
        <v>9</v>
      </c>
      <c r="D26">
        <v>1</v>
      </c>
    </row>
    <row r="27" spans="1:6">
      <c r="A27" t="str">
        <f t="shared" si="0"/>
        <v>Thalx_antarc_Spikes</v>
      </c>
      <c r="B27" s="1" t="s">
        <v>136</v>
      </c>
      <c r="C27" s="2" t="s">
        <v>135</v>
      </c>
      <c r="D27">
        <v>1</v>
      </c>
    </row>
    <row r="28" spans="1:6">
      <c r="A28" t="str">
        <f t="shared" si="0"/>
        <v>Frag_kerg_Spikes</v>
      </c>
      <c r="B28" s="1" t="s">
        <v>142</v>
      </c>
      <c r="C28" s="2" t="s">
        <v>70</v>
      </c>
      <c r="D28">
        <v>1</v>
      </c>
    </row>
    <row r="29" spans="1:6">
      <c r="A29" t="str">
        <f t="shared" si="0"/>
        <v>Pseudo_line_Spikes</v>
      </c>
      <c r="B29" s="1" t="s">
        <v>146</v>
      </c>
      <c r="C29" s="2" t="s">
        <v>147</v>
      </c>
      <c r="D29">
        <v>1</v>
      </c>
    </row>
    <row r="30" spans="1:6">
      <c r="A30" t="str">
        <f t="shared" si="0"/>
        <v>Thala_grac_Spikes</v>
      </c>
      <c r="B30" s="1" t="s">
        <v>153</v>
      </c>
      <c r="C30" s="2" t="s">
        <v>150</v>
      </c>
      <c r="D30">
        <v>1</v>
      </c>
    </row>
    <row r="31" spans="1:6">
      <c r="A31" t="str">
        <f t="shared" si="0"/>
        <v>Frag_pseud_Spikes</v>
      </c>
      <c r="B31" s="1" t="s">
        <v>157</v>
      </c>
      <c r="C31" s="2" t="s">
        <v>156</v>
      </c>
      <c r="D31">
        <v>1</v>
      </c>
    </row>
    <row r="32" spans="1:6">
      <c r="A32" t="str">
        <f t="shared" si="0"/>
        <v>Nav_direc_Spikes</v>
      </c>
      <c r="B32" s="1" t="s">
        <v>161</v>
      </c>
      <c r="C32" s="2" t="s">
        <v>162</v>
      </c>
      <c r="D32">
        <v>1</v>
      </c>
    </row>
    <row r="33" spans="1:6">
      <c r="A33" t="str">
        <f t="shared" si="0"/>
        <v>Thala_lent_Spikes</v>
      </c>
      <c r="B33" s="1" t="s">
        <v>165</v>
      </c>
      <c r="C33" s="2" t="s">
        <v>166</v>
      </c>
      <c r="D33">
        <v>1</v>
      </c>
    </row>
    <row r="34" spans="1:6">
      <c r="A34" t="str">
        <f t="shared" si="0"/>
        <v>Pseudo_heim_Spikes</v>
      </c>
      <c r="B34" s="1" t="s">
        <v>169</v>
      </c>
      <c r="C34" s="2" t="s">
        <v>170</v>
      </c>
      <c r="D34">
        <v>1</v>
      </c>
    </row>
    <row r="35" spans="1:6">
      <c r="A35" t="str">
        <f t="shared" si="0"/>
        <v>Frag_rhomb_Spikes</v>
      </c>
      <c r="B35" s="1" t="s">
        <v>172</v>
      </c>
      <c r="C35" s="2" t="s">
        <v>71</v>
      </c>
      <c r="D35">
        <v>1</v>
      </c>
    </row>
    <row r="36" spans="1:6">
      <c r="A36" t="str">
        <f t="shared" si="0"/>
        <v>Azp_tab_Spikes</v>
      </c>
      <c r="B36" s="1" t="s">
        <v>179</v>
      </c>
      <c r="C36" s="2" t="s">
        <v>178</v>
      </c>
      <c r="D36">
        <v>1</v>
      </c>
    </row>
    <row r="37" spans="1:6">
      <c r="A37" t="str">
        <f t="shared" si="0"/>
        <v>Thal_olive_Spikes</v>
      </c>
      <c r="B37" s="1" t="s">
        <v>182</v>
      </c>
      <c r="C37" s="2" t="s">
        <v>183</v>
      </c>
      <c r="D37">
        <v>1</v>
      </c>
    </row>
    <row r="38" spans="1:6">
      <c r="A38" t="str">
        <f t="shared" si="0"/>
        <v>Chaet_atlant_Spikes</v>
      </c>
      <c r="B38" s="1" t="s">
        <v>33</v>
      </c>
      <c r="C38" s="2" t="s">
        <v>4</v>
      </c>
      <c r="D38">
        <v>2</v>
      </c>
      <c r="E38" t="s">
        <v>188</v>
      </c>
      <c r="F38">
        <v>3</v>
      </c>
    </row>
    <row r="39" spans="1:6">
      <c r="A39" t="str">
        <f t="shared" si="0"/>
        <v>Thal_nitz_Spikes</v>
      </c>
      <c r="B39" s="1" t="s">
        <v>192</v>
      </c>
      <c r="C39" s="2" t="s">
        <v>74</v>
      </c>
      <c r="D39">
        <v>1</v>
      </c>
    </row>
    <row r="40" spans="1:6">
      <c r="A40" t="str">
        <f t="shared" si="0"/>
        <v>Nitz_bicap_Spikes</v>
      </c>
      <c r="B40" s="1" t="s">
        <v>195</v>
      </c>
      <c r="C40" s="2" t="s">
        <v>72</v>
      </c>
      <c r="D40">
        <v>1</v>
      </c>
    </row>
    <row r="41" spans="1:6">
      <c r="A41" t="str">
        <f t="shared" si="0"/>
        <v>Hem_cune_Spikes</v>
      </c>
      <c r="B41" s="1" t="s">
        <v>197</v>
      </c>
      <c r="C41" s="2" t="s">
        <v>196</v>
      </c>
      <c r="D41">
        <v>1</v>
      </c>
    </row>
    <row r="42" spans="1:6">
      <c r="A42" t="str">
        <f t="shared" si="0"/>
        <v>Rope_tess_Spikes</v>
      </c>
      <c r="B42" s="1" t="s">
        <v>200</v>
      </c>
      <c r="C42" s="2" t="s">
        <v>73</v>
      </c>
      <c r="D42">
        <v>1</v>
      </c>
    </row>
    <row r="43" spans="1:6">
      <c r="A43" t="str">
        <f t="shared" si="0"/>
        <v>Thala_line_Spikes</v>
      </c>
      <c r="B43" s="1" t="s">
        <v>203</v>
      </c>
      <c r="C43" s="2" t="s">
        <v>204</v>
      </c>
      <c r="D43">
        <v>1</v>
      </c>
    </row>
    <row r="44" spans="1:6">
      <c r="A44" t="str">
        <f t="shared" si="0"/>
        <v>Thala_ecc_Spikes</v>
      </c>
      <c r="B44" s="1" t="s">
        <v>208</v>
      </c>
      <c r="C44" s="2" t="s">
        <v>206</v>
      </c>
      <c r="D44">
        <v>1</v>
      </c>
    </row>
    <row r="45" spans="1:6">
      <c r="A45" t="str">
        <f t="shared" si="0"/>
        <v>Thala_oest_Spikes</v>
      </c>
      <c r="B45" s="1" t="s">
        <v>355</v>
      </c>
      <c r="C45" s="2" t="s">
        <v>354</v>
      </c>
      <c r="D45">
        <v>1</v>
      </c>
    </row>
    <row r="46" spans="1:6">
      <c r="A46" t="str">
        <f t="shared" si="0"/>
        <v>Trich_rein_Spikes</v>
      </c>
      <c r="B46" s="1" t="s">
        <v>213</v>
      </c>
      <c r="C46" s="2" t="s">
        <v>212</v>
      </c>
      <c r="D46">
        <v>1</v>
      </c>
    </row>
    <row r="47" spans="1:6">
      <c r="A47" t="str">
        <f t="shared" si="0"/>
        <v>Rhizo_ant_semi_Spikes</v>
      </c>
      <c r="B47" s="1" t="s">
        <v>218</v>
      </c>
      <c r="C47" s="2" t="s">
        <v>219</v>
      </c>
      <c r="D47">
        <v>2</v>
      </c>
      <c r="E47" t="s">
        <v>129</v>
      </c>
      <c r="F47">
        <v>3</v>
      </c>
    </row>
    <row r="48" spans="1:6">
      <c r="A48" t="str">
        <f t="shared" si="0"/>
        <v>Rhizo_poly_Spikes</v>
      </c>
      <c r="B48" s="8" t="s">
        <v>225</v>
      </c>
      <c r="C48" s="6" t="s">
        <v>221</v>
      </c>
      <c r="D48">
        <v>1</v>
      </c>
      <c r="E48" t="s">
        <v>229</v>
      </c>
      <c r="F48">
        <v>3</v>
      </c>
    </row>
    <row r="49" spans="1:6">
      <c r="A49" t="str">
        <f t="shared" si="0"/>
        <v>Rhizo_curv_Spikes</v>
      </c>
      <c r="B49" s="8" t="s">
        <v>226</v>
      </c>
      <c r="C49" s="6" t="s">
        <v>222</v>
      </c>
      <c r="D49">
        <v>1</v>
      </c>
      <c r="E49" t="s">
        <v>229</v>
      </c>
      <c r="F49">
        <v>3</v>
      </c>
    </row>
    <row r="50" spans="1:6">
      <c r="A50" t="str">
        <f t="shared" si="0"/>
        <v>Rhizo_crass_Spikes</v>
      </c>
      <c r="B50" s="8" t="s">
        <v>227</v>
      </c>
      <c r="C50" s="6" t="s">
        <v>223</v>
      </c>
      <c r="D50">
        <v>1</v>
      </c>
      <c r="E50" t="s">
        <v>229</v>
      </c>
      <c r="F50">
        <v>3</v>
      </c>
    </row>
    <row r="51" spans="1:6">
      <c r="A51" t="str">
        <f t="shared" si="0"/>
        <v>Rhizo_sima_Spikes</v>
      </c>
      <c r="B51" s="8" t="s">
        <v>228</v>
      </c>
      <c r="C51" s="6" t="s">
        <v>224</v>
      </c>
      <c r="D51">
        <v>1</v>
      </c>
      <c r="E51" t="s">
        <v>229</v>
      </c>
      <c r="F51">
        <v>3</v>
      </c>
    </row>
    <row r="52" spans="1:6">
      <c r="A52" t="str">
        <f t="shared" si="0"/>
        <v>Frag_curta_Spikes</v>
      </c>
      <c r="B52" s="8" t="s">
        <v>263</v>
      </c>
      <c r="C52" s="6" t="s">
        <v>259</v>
      </c>
      <c r="D52">
        <v>1</v>
      </c>
    </row>
    <row r="53" spans="1:6">
      <c r="A53" t="str">
        <f t="shared" si="0"/>
        <v>Frag_cylin_Spikes</v>
      </c>
      <c r="B53" s="8" t="s">
        <v>35</v>
      </c>
      <c r="C53" s="6" t="s">
        <v>53</v>
      </c>
      <c r="D53">
        <v>1</v>
      </c>
    </row>
    <row r="54" spans="1:6">
      <c r="A54" t="str">
        <f t="shared" si="0"/>
        <v>Frag_rits_Spikes</v>
      </c>
      <c r="B54" s="8" t="s">
        <v>264</v>
      </c>
      <c r="C54" s="6" t="s">
        <v>260</v>
      </c>
      <c r="D54">
        <v>1</v>
      </c>
    </row>
    <row r="55" spans="1:6">
      <c r="A55" t="str">
        <f t="shared" si="0"/>
        <v>Frag_sep_Spikes</v>
      </c>
      <c r="B55" s="8" t="s">
        <v>265</v>
      </c>
      <c r="C55" s="6" t="s">
        <v>261</v>
      </c>
      <c r="D55">
        <v>1</v>
      </c>
    </row>
    <row r="56" spans="1:6">
      <c r="A56" t="str">
        <f t="shared" si="0"/>
        <v>Core_crio_Spikes</v>
      </c>
      <c r="B56" s="1" t="s">
        <v>34</v>
      </c>
      <c r="C56" s="2" t="s">
        <v>5</v>
      </c>
      <c r="D56">
        <v>2</v>
      </c>
      <c r="E56" t="s">
        <v>304</v>
      </c>
    </row>
    <row r="57" spans="1:6">
      <c r="A57" t="str">
        <f t="shared" si="0"/>
        <v>Core_penn_Spikes</v>
      </c>
      <c r="B57" s="1" t="s">
        <v>275</v>
      </c>
      <c r="C57" s="2" t="s">
        <v>276</v>
      </c>
      <c r="D57">
        <v>2</v>
      </c>
      <c r="E57" t="s">
        <v>280</v>
      </c>
      <c r="F57">
        <v>3</v>
      </c>
    </row>
    <row r="58" spans="1:6">
      <c r="A58" t="str">
        <f t="shared" si="0"/>
        <v>Core_inerme_Spikes</v>
      </c>
      <c r="B58" s="1" t="s">
        <v>278</v>
      </c>
      <c r="C58" s="2" t="s">
        <v>279</v>
      </c>
      <c r="D58">
        <v>2</v>
      </c>
      <c r="E58" t="s">
        <v>280</v>
      </c>
      <c r="F58">
        <v>3</v>
      </c>
    </row>
    <row r="59" spans="1:6">
      <c r="A59" t="str">
        <f t="shared" si="0"/>
        <v>Euc_antarc_Spikes</v>
      </c>
      <c r="B59" s="1" t="s">
        <v>293</v>
      </c>
      <c r="C59" s="2" t="s">
        <v>69</v>
      </c>
      <c r="D59">
        <v>1</v>
      </c>
      <c r="E59" t="s">
        <v>297</v>
      </c>
      <c r="F59">
        <v>3</v>
      </c>
    </row>
    <row r="60" spans="1:6">
      <c r="A60" t="str">
        <f t="shared" si="0"/>
        <v>Dact_antarc_Spikes</v>
      </c>
      <c r="B60" s="1" t="s">
        <v>300</v>
      </c>
      <c r="C60" s="2" t="s">
        <v>68</v>
      </c>
      <c r="D60">
        <v>1</v>
      </c>
      <c r="F60">
        <v>3</v>
      </c>
    </row>
    <row r="61" spans="1:6">
      <c r="A61" t="str">
        <f t="shared" si="0"/>
        <v>Mem_chall_Spikes</v>
      </c>
      <c r="B61" s="1" t="s">
        <v>305</v>
      </c>
      <c r="C61" s="2" t="s">
        <v>306</v>
      </c>
      <c r="D61">
        <v>1</v>
      </c>
      <c r="F61">
        <v>3</v>
      </c>
    </row>
    <row r="62" spans="1:6">
      <c r="A62" t="str">
        <f t="shared" si="0"/>
        <v>Odon_weiss_Spikes</v>
      </c>
      <c r="B62" s="1" t="s">
        <v>309</v>
      </c>
      <c r="C62" s="6" t="s">
        <v>310</v>
      </c>
      <c r="D62">
        <v>1</v>
      </c>
      <c r="E62" t="s">
        <v>297</v>
      </c>
      <c r="F62">
        <v>3</v>
      </c>
    </row>
    <row r="63" spans="1:6">
      <c r="A63" t="str">
        <f t="shared" si="0"/>
        <v>Stel_micro_Spikes</v>
      </c>
      <c r="B63" s="1" t="s">
        <v>394</v>
      </c>
      <c r="C63" s="2" t="s">
        <v>395</v>
      </c>
      <c r="D63">
        <v>1</v>
      </c>
      <c r="F63">
        <v>3</v>
      </c>
    </row>
    <row r="64" spans="1:6">
      <c r="A64" t="str">
        <f t="shared" si="0"/>
        <v>Chaet_dich_Spikes</v>
      </c>
      <c r="B64" s="1" t="s">
        <v>409</v>
      </c>
      <c r="C64" s="2" t="s">
        <v>77</v>
      </c>
      <c r="D64">
        <v>2</v>
      </c>
      <c r="E64" t="s">
        <v>100</v>
      </c>
      <c r="F64" t="s">
        <v>107</v>
      </c>
    </row>
    <row r="65" spans="1:6">
      <c r="A65" t="str">
        <f t="shared" si="0"/>
        <v>Chaet_peru_Spikes</v>
      </c>
      <c r="B65" s="1" t="s">
        <v>410</v>
      </c>
      <c r="C65" s="2" t="s">
        <v>67</v>
      </c>
      <c r="D65">
        <v>2</v>
      </c>
      <c r="E65" t="s">
        <v>100</v>
      </c>
      <c r="F65" t="s">
        <v>107</v>
      </c>
    </row>
    <row r="66" spans="1:6">
      <c r="A66" t="str">
        <f t="shared" si="0"/>
        <v>Chaet_deb_Spikes</v>
      </c>
      <c r="B66" s="1" t="s">
        <v>411</v>
      </c>
      <c r="C66" s="2" t="s">
        <v>76</v>
      </c>
      <c r="D66">
        <v>2</v>
      </c>
      <c r="E66" t="s">
        <v>100</v>
      </c>
      <c r="F66" t="s">
        <v>107</v>
      </c>
    </row>
    <row r="67" spans="1:6">
      <c r="A67" t="str">
        <f t="shared" si="0"/>
        <v>Astero_hya_Spikes</v>
      </c>
      <c r="B67" s="1" t="s">
        <v>412</v>
      </c>
      <c r="C67" s="2" t="s">
        <v>406</v>
      </c>
      <c r="D67">
        <v>1</v>
      </c>
      <c r="F67">
        <v>3</v>
      </c>
    </row>
    <row r="68" spans="1:6">
      <c r="A68" t="str">
        <f t="shared" si="0"/>
        <v>Emil_hux_Spikes</v>
      </c>
      <c r="B68" s="1" t="s">
        <v>41</v>
      </c>
      <c r="C68" s="2" t="s">
        <v>407</v>
      </c>
      <c r="D68">
        <v>1</v>
      </c>
      <c r="F68">
        <v>2</v>
      </c>
    </row>
    <row r="69" spans="1:6">
      <c r="A69" t="str">
        <f t="shared" ref="A69" si="1">CONCATENATE(B69,"_Spikes")</f>
        <v>Has_trom_Spikes</v>
      </c>
      <c r="B69" s="1" t="s">
        <v>413</v>
      </c>
      <c r="C69" s="2" t="s">
        <v>408</v>
      </c>
      <c r="D69">
        <v>1</v>
      </c>
      <c r="F69">
        <v>3</v>
      </c>
    </row>
    <row r="70" spans="1:6">
      <c r="B70" s="1"/>
      <c r="C70"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784E5-CCF2-9F43-8F5A-D8B464BFE806}">
  <dimension ref="A1:I70"/>
  <sheetViews>
    <sheetView topLeftCell="A40" workbookViewId="0">
      <selection activeCell="I56" sqref="I56"/>
    </sheetView>
  </sheetViews>
  <sheetFormatPr defaultColWidth="11" defaultRowHeight="15.75"/>
  <cols>
    <col min="1" max="1" width="21" bestFit="1" customWidth="1"/>
    <col min="2" max="2" width="25.125" bestFit="1" customWidth="1"/>
    <col min="3" max="3" width="32.125" bestFit="1" customWidth="1"/>
    <col min="4" max="4" width="13" bestFit="1" customWidth="1"/>
    <col min="5" max="5" width="23.5" bestFit="1" customWidth="1"/>
  </cols>
  <sheetData>
    <row r="1" spans="1:8">
      <c r="A1" s="11" t="s">
        <v>95</v>
      </c>
    </row>
    <row r="2" spans="1:8">
      <c r="B2" s="11"/>
      <c r="D2" t="s">
        <v>402</v>
      </c>
      <c r="H2" t="s">
        <v>398</v>
      </c>
    </row>
    <row r="3" spans="1:8">
      <c r="A3" s="4" t="s">
        <v>377</v>
      </c>
      <c r="B3" s="4" t="s">
        <v>81</v>
      </c>
      <c r="C3" s="4" t="s">
        <v>10</v>
      </c>
      <c r="D3" s="4" t="s">
        <v>88</v>
      </c>
      <c r="E3" s="4" t="s">
        <v>89</v>
      </c>
      <c r="F3" s="4" t="s">
        <v>79</v>
      </c>
    </row>
    <row r="4" spans="1:8">
      <c r="A4" t="str">
        <f>CONCATENATE(B4,"_Spore")</f>
        <v>Chaet_flex_Spore</v>
      </c>
      <c r="B4" s="1" t="s">
        <v>60</v>
      </c>
      <c r="C4" s="9" t="s">
        <v>58</v>
      </c>
      <c r="D4">
        <v>2</v>
      </c>
      <c r="F4">
        <v>3</v>
      </c>
    </row>
    <row r="5" spans="1:8">
      <c r="A5" t="str">
        <f t="shared" ref="A5:A68" si="0">CONCATENATE(B5,"_Spore")</f>
        <v>Chaet_grac_Spore</v>
      </c>
      <c r="B5" s="1" t="s">
        <v>61</v>
      </c>
      <c r="C5" s="9" t="s">
        <v>52</v>
      </c>
      <c r="D5">
        <v>1</v>
      </c>
      <c r="E5" t="s">
        <v>110</v>
      </c>
    </row>
    <row r="6" spans="1:8">
      <c r="A6" t="str">
        <f t="shared" si="0"/>
        <v>Prob_inerm_Spore</v>
      </c>
      <c r="B6" s="1" t="s">
        <v>62</v>
      </c>
      <c r="C6" s="9" t="s">
        <v>57</v>
      </c>
      <c r="D6">
        <v>1</v>
      </c>
      <c r="F6">
        <v>6</v>
      </c>
    </row>
    <row r="7" spans="1:8">
      <c r="A7" t="str">
        <f t="shared" si="0"/>
        <v>Frag_island_Spore</v>
      </c>
      <c r="B7" s="1" t="s">
        <v>63</v>
      </c>
      <c r="C7" s="9" t="s">
        <v>59</v>
      </c>
      <c r="D7">
        <v>1</v>
      </c>
      <c r="E7" t="s">
        <v>110</v>
      </c>
    </row>
    <row r="8" spans="1:8">
      <c r="A8" t="str">
        <f t="shared" si="0"/>
        <v>Phae_antarc_Spore</v>
      </c>
      <c r="B8" s="1" t="s">
        <v>64</v>
      </c>
      <c r="C8" s="9" t="s">
        <v>54</v>
      </c>
      <c r="D8">
        <v>1</v>
      </c>
      <c r="E8" t="s">
        <v>110</v>
      </c>
    </row>
    <row r="9" spans="1:8">
      <c r="A9" t="str">
        <f t="shared" si="0"/>
        <v>Frag_sp5_Spore</v>
      </c>
      <c r="B9" s="1" t="s">
        <v>65</v>
      </c>
      <c r="C9" s="9" t="s">
        <v>55</v>
      </c>
      <c r="D9">
        <v>1</v>
      </c>
      <c r="E9" t="s">
        <v>110</v>
      </c>
    </row>
    <row r="10" spans="1:8">
      <c r="A10" t="str">
        <f t="shared" si="0"/>
        <v>Lennox_fav_Spore</v>
      </c>
      <c r="B10" s="1" t="s">
        <v>66</v>
      </c>
      <c r="C10" s="9" t="s">
        <v>56</v>
      </c>
      <c r="D10">
        <v>1</v>
      </c>
      <c r="E10" t="s">
        <v>110</v>
      </c>
    </row>
    <row r="11" spans="1:8">
      <c r="A11" t="str">
        <f t="shared" si="0"/>
        <v>Actino_curv_Spore</v>
      </c>
      <c r="B11" s="1" t="s">
        <v>42</v>
      </c>
      <c r="C11" s="2" t="s">
        <v>14</v>
      </c>
      <c r="D11">
        <v>1</v>
      </c>
      <c r="E11" t="s">
        <v>110</v>
      </c>
    </row>
    <row r="12" spans="1:8">
      <c r="A12" t="str">
        <f t="shared" si="0"/>
        <v>Astero_hept_Spore</v>
      </c>
      <c r="B12" s="1" t="s">
        <v>43</v>
      </c>
      <c r="C12" s="2" t="s">
        <v>15</v>
      </c>
      <c r="D12">
        <v>1</v>
      </c>
      <c r="E12" t="s">
        <v>110</v>
      </c>
    </row>
    <row r="13" spans="1:8">
      <c r="A13" t="str">
        <f t="shared" si="0"/>
        <v>Astero_robust_Spore</v>
      </c>
      <c r="B13" s="1" t="s">
        <v>44</v>
      </c>
      <c r="C13" s="2" t="s">
        <v>16</v>
      </c>
      <c r="D13">
        <v>1</v>
      </c>
      <c r="E13" t="s">
        <v>110</v>
      </c>
    </row>
    <row r="14" spans="1:8">
      <c r="A14" t="str">
        <f t="shared" si="0"/>
        <v>Coscino_marg_Spore</v>
      </c>
      <c r="B14" s="1" t="s">
        <v>45</v>
      </c>
      <c r="C14" s="2" t="s">
        <v>17</v>
      </c>
      <c r="D14">
        <v>1</v>
      </c>
      <c r="E14" t="s">
        <v>110</v>
      </c>
    </row>
    <row r="15" spans="1:8">
      <c r="A15" t="str">
        <f t="shared" si="0"/>
        <v>Coscino_oculus_Spore</v>
      </c>
      <c r="B15" s="1" t="s">
        <v>46</v>
      </c>
      <c r="C15" s="2" t="s">
        <v>18</v>
      </c>
      <c r="D15">
        <v>1</v>
      </c>
      <c r="E15" t="s">
        <v>110</v>
      </c>
    </row>
    <row r="16" spans="1:8">
      <c r="A16" t="str">
        <f t="shared" si="0"/>
        <v>Coscino_spp20_Spore</v>
      </c>
      <c r="B16" s="1" t="s">
        <v>47</v>
      </c>
      <c r="C16" s="2" t="s">
        <v>19</v>
      </c>
      <c r="D16">
        <v>1</v>
      </c>
      <c r="E16" t="s">
        <v>110</v>
      </c>
    </row>
    <row r="17" spans="1:6">
      <c r="A17" t="str">
        <f t="shared" si="0"/>
        <v>Podo_elegans_Spore</v>
      </c>
      <c r="B17" s="1" t="s">
        <v>48</v>
      </c>
      <c r="C17" s="2" t="s">
        <v>20</v>
      </c>
      <c r="D17">
        <v>1</v>
      </c>
      <c r="E17" t="s">
        <v>110</v>
      </c>
    </row>
    <row r="18" spans="1:6">
      <c r="A18" t="str">
        <f t="shared" si="0"/>
        <v>Thalas_trif_Spore</v>
      </c>
      <c r="B18" s="1" t="s">
        <v>49</v>
      </c>
      <c r="C18" s="2" t="s">
        <v>21</v>
      </c>
      <c r="D18">
        <v>1</v>
      </c>
      <c r="E18" t="s">
        <v>110</v>
      </c>
    </row>
    <row r="19" spans="1:6">
      <c r="A19" t="str">
        <f t="shared" si="0"/>
        <v>Nitz_spp_Spore</v>
      </c>
      <c r="B19" s="1" t="s">
        <v>50</v>
      </c>
      <c r="C19" s="2" t="s">
        <v>22</v>
      </c>
      <c r="D19">
        <v>1</v>
      </c>
      <c r="E19" t="s">
        <v>110</v>
      </c>
    </row>
    <row r="20" spans="1:6">
      <c r="A20" t="str">
        <f t="shared" si="0"/>
        <v>Thala_antarc_Spore</v>
      </c>
      <c r="B20" s="1" t="s">
        <v>38</v>
      </c>
      <c r="C20" s="2" t="s">
        <v>7</v>
      </c>
      <c r="D20">
        <v>2</v>
      </c>
      <c r="E20" t="s">
        <v>109</v>
      </c>
      <c r="F20" t="s">
        <v>299</v>
      </c>
    </row>
    <row r="21" spans="1:6">
      <c r="A21" t="str">
        <f t="shared" si="0"/>
        <v>Thala_grav_Spore</v>
      </c>
      <c r="B21" s="1" t="s">
        <v>39</v>
      </c>
      <c r="C21" s="2" t="s">
        <v>8</v>
      </c>
      <c r="D21">
        <v>2</v>
      </c>
      <c r="E21" t="s">
        <v>109</v>
      </c>
      <c r="F21">
        <v>4</v>
      </c>
    </row>
    <row r="22" spans="1:6">
      <c r="A22" t="str">
        <f t="shared" si="0"/>
        <v>Bact_bath_Spore</v>
      </c>
      <c r="B22" s="1" t="s">
        <v>32</v>
      </c>
      <c r="C22" s="2" t="s">
        <v>3</v>
      </c>
      <c r="D22">
        <v>1</v>
      </c>
      <c r="E22" t="s">
        <v>110</v>
      </c>
    </row>
    <row r="23" spans="1:6">
      <c r="A23" t="str">
        <f t="shared" si="0"/>
        <v>Neo_sem_Spore</v>
      </c>
      <c r="B23" s="1" t="s">
        <v>36</v>
      </c>
      <c r="C23" s="2" t="s">
        <v>6</v>
      </c>
      <c r="D23">
        <v>1</v>
      </c>
      <c r="E23" t="s">
        <v>110</v>
      </c>
    </row>
    <row r="24" spans="1:6">
      <c r="A24" t="str">
        <f t="shared" si="0"/>
        <v>Rhizo_heb_semi_Spore</v>
      </c>
      <c r="B24" s="1" t="s">
        <v>37</v>
      </c>
      <c r="C24" s="2" t="s">
        <v>111</v>
      </c>
      <c r="D24">
        <v>1</v>
      </c>
      <c r="E24" t="s">
        <v>110</v>
      </c>
    </row>
    <row r="25" spans="1:6">
      <c r="A25" t="str">
        <f t="shared" si="0"/>
        <v>Rhizo_heb_hiem_Spore</v>
      </c>
      <c r="B25" s="1" t="s">
        <v>393</v>
      </c>
      <c r="C25" s="2" t="s">
        <v>112</v>
      </c>
      <c r="D25">
        <v>1</v>
      </c>
      <c r="E25" t="s">
        <v>110</v>
      </c>
    </row>
    <row r="26" spans="1:6">
      <c r="A26" t="str">
        <f t="shared" si="0"/>
        <v>Thalx_long_Spore</v>
      </c>
      <c r="B26" s="1" t="s">
        <v>40</v>
      </c>
      <c r="C26" s="2" t="s">
        <v>9</v>
      </c>
      <c r="D26">
        <v>1</v>
      </c>
      <c r="E26" t="s">
        <v>110</v>
      </c>
    </row>
    <row r="27" spans="1:6">
      <c r="A27" t="str">
        <f t="shared" si="0"/>
        <v>Thalx_antarc_Spore</v>
      </c>
      <c r="B27" s="8" t="s">
        <v>136</v>
      </c>
      <c r="C27" s="6" t="s">
        <v>135</v>
      </c>
      <c r="D27">
        <v>1</v>
      </c>
      <c r="F27">
        <v>6</v>
      </c>
    </row>
    <row r="28" spans="1:6">
      <c r="A28" t="str">
        <f t="shared" si="0"/>
        <v>Frag_kerg_Spore</v>
      </c>
      <c r="B28" s="8" t="s">
        <v>142</v>
      </c>
      <c r="C28" s="6" t="s">
        <v>70</v>
      </c>
      <c r="D28">
        <v>2</v>
      </c>
      <c r="F28">
        <v>14</v>
      </c>
    </row>
    <row r="29" spans="1:6">
      <c r="A29" t="str">
        <f t="shared" si="0"/>
        <v>Pseudo_line_Spore</v>
      </c>
      <c r="B29" s="8" t="s">
        <v>146</v>
      </c>
      <c r="C29" s="6" t="s">
        <v>147</v>
      </c>
      <c r="D29">
        <v>1</v>
      </c>
      <c r="E29" t="s">
        <v>110</v>
      </c>
    </row>
    <row r="30" spans="1:6">
      <c r="A30" t="str">
        <f t="shared" si="0"/>
        <v>Thala_grac_Spore</v>
      </c>
      <c r="B30" s="8" t="s">
        <v>153</v>
      </c>
      <c r="C30" s="6" t="s">
        <v>150</v>
      </c>
      <c r="D30">
        <v>1</v>
      </c>
      <c r="E30" t="s">
        <v>110</v>
      </c>
    </row>
    <row r="31" spans="1:6">
      <c r="A31" t="str">
        <f t="shared" si="0"/>
        <v>Frag_pseud_Spore</v>
      </c>
      <c r="B31" s="8" t="s">
        <v>157</v>
      </c>
      <c r="C31" s="6" t="s">
        <v>156</v>
      </c>
      <c r="D31">
        <v>1</v>
      </c>
      <c r="E31" t="s">
        <v>110</v>
      </c>
    </row>
    <row r="32" spans="1:6">
      <c r="A32" t="str">
        <f t="shared" si="0"/>
        <v>Nav_direc_Spore</v>
      </c>
      <c r="B32" s="8" t="s">
        <v>161</v>
      </c>
      <c r="C32" s="6" t="s">
        <v>162</v>
      </c>
      <c r="D32">
        <v>1</v>
      </c>
      <c r="F32">
        <v>6</v>
      </c>
    </row>
    <row r="33" spans="1:9">
      <c r="A33" t="str">
        <f t="shared" si="0"/>
        <v>Thala_lent_Spore</v>
      </c>
      <c r="B33" s="8" t="s">
        <v>165</v>
      </c>
      <c r="C33" s="6" t="s">
        <v>166</v>
      </c>
      <c r="D33">
        <v>1</v>
      </c>
      <c r="E33" t="s">
        <v>110</v>
      </c>
    </row>
    <row r="34" spans="1:9">
      <c r="A34" t="str">
        <f t="shared" si="0"/>
        <v>Pseudo_heim_Spore</v>
      </c>
      <c r="B34" s="8" t="s">
        <v>169</v>
      </c>
      <c r="C34" s="6" t="s">
        <v>170</v>
      </c>
      <c r="D34">
        <v>1</v>
      </c>
      <c r="E34" t="s">
        <v>110</v>
      </c>
    </row>
    <row r="35" spans="1:9">
      <c r="A35" t="str">
        <f t="shared" si="0"/>
        <v>Frag_rhomb_Spore</v>
      </c>
      <c r="B35" s="1" t="s">
        <v>172</v>
      </c>
      <c r="C35" s="2" t="s">
        <v>71</v>
      </c>
      <c r="D35">
        <v>1</v>
      </c>
      <c r="E35" t="s">
        <v>110</v>
      </c>
    </row>
    <row r="36" spans="1:9">
      <c r="A36" t="str">
        <f t="shared" si="0"/>
        <v>Azp_tab_Spore</v>
      </c>
      <c r="B36" s="8" t="s">
        <v>179</v>
      </c>
      <c r="C36" s="6" t="s">
        <v>178</v>
      </c>
      <c r="D36">
        <v>1</v>
      </c>
      <c r="E36" t="s">
        <v>110</v>
      </c>
    </row>
    <row r="37" spans="1:9">
      <c r="A37" t="str">
        <f t="shared" si="0"/>
        <v>Thal_olive_Spore</v>
      </c>
      <c r="B37" s="8" t="s">
        <v>182</v>
      </c>
      <c r="C37" s="6" t="s">
        <v>183</v>
      </c>
      <c r="D37">
        <v>1</v>
      </c>
      <c r="E37" t="s">
        <v>110</v>
      </c>
    </row>
    <row r="38" spans="1:9">
      <c r="A38" t="str">
        <f t="shared" si="0"/>
        <v>Chaet_atlant_Spore</v>
      </c>
      <c r="B38" s="1" t="s">
        <v>33</v>
      </c>
      <c r="C38" s="2" t="s">
        <v>4</v>
      </c>
      <c r="D38">
        <v>1</v>
      </c>
      <c r="E38" t="s">
        <v>110</v>
      </c>
    </row>
    <row r="39" spans="1:9">
      <c r="A39" t="str">
        <f t="shared" si="0"/>
        <v>Thal_nitz_Spore</v>
      </c>
      <c r="B39" s="8" t="s">
        <v>192</v>
      </c>
      <c r="C39" s="6" t="s">
        <v>74</v>
      </c>
      <c r="D39">
        <v>1</v>
      </c>
      <c r="F39">
        <v>6</v>
      </c>
    </row>
    <row r="40" spans="1:9">
      <c r="A40" t="str">
        <f t="shared" si="0"/>
        <v>Nitz_bicap_Spore</v>
      </c>
      <c r="B40" s="8" t="s">
        <v>195</v>
      </c>
      <c r="C40" s="6" t="s">
        <v>72</v>
      </c>
      <c r="D40">
        <v>1</v>
      </c>
      <c r="E40" t="s">
        <v>110</v>
      </c>
    </row>
    <row r="41" spans="1:9">
      <c r="A41" t="str">
        <f t="shared" si="0"/>
        <v>Hem_cune_Spore</v>
      </c>
      <c r="B41" s="8" t="s">
        <v>197</v>
      </c>
      <c r="C41" s="6" t="s">
        <v>196</v>
      </c>
      <c r="D41">
        <v>1</v>
      </c>
      <c r="E41" t="s">
        <v>110</v>
      </c>
    </row>
    <row r="42" spans="1:9">
      <c r="A42" t="str">
        <f t="shared" si="0"/>
        <v>Rope_tess_Spore</v>
      </c>
      <c r="B42" s="8" t="s">
        <v>200</v>
      </c>
      <c r="C42" s="6" t="s">
        <v>73</v>
      </c>
      <c r="D42">
        <v>1</v>
      </c>
      <c r="E42" t="s">
        <v>110</v>
      </c>
    </row>
    <row r="43" spans="1:9">
      <c r="A43" t="str">
        <f t="shared" si="0"/>
        <v>Thala_line_Spore</v>
      </c>
      <c r="B43" s="8" t="s">
        <v>203</v>
      </c>
      <c r="C43" s="6" t="s">
        <v>204</v>
      </c>
      <c r="D43">
        <v>1</v>
      </c>
      <c r="E43" t="s">
        <v>110</v>
      </c>
    </row>
    <row r="44" spans="1:9">
      <c r="A44" t="str">
        <f t="shared" si="0"/>
        <v>Thala_ecc_Spore</v>
      </c>
      <c r="B44" s="1" t="s">
        <v>208</v>
      </c>
      <c r="C44" s="2" t="s">
        <v>206</v>
      </c>
      <c r="D44">
        <v>1</v>
      </c>
      <c r="E44" t="s">
        <v>110</v>
      </c>
    </row>
    <row r="45" spans="1:9">
      <c r="A45" t="str">
        <f t="shared" si="0"/>
        <v>Thala_oest_Spore</v>
      </c>
      <c r="B45" s="1" t="s">
        <v>355</v>
      </c>
      <c r="C45" s="2" t="s">
        <v>354</v>
      </c>
      <c r="D45">
        <v>1</v>
      </c>
      <c r="E45" t="s">
        <v>110</v>
      </c>
    </row>
    <row r="46" spans="1:9">
      <c r="A46" t="str">
        <f t="shared" si="0"/>
        <v>Trich_rein_Spore</v>
      </c>
      <c r="B46" s="8" t="s">
        <v>213</v>
      </c>
      <c r="C46" s="6" t="s">
        <v>212</v>
      </c>
      <c r="D46">
        <v>1</v>
      </c>
      <c r="E46" t="s">
        <v>110</v>
      </c>
    </row>
    <row r="47" spans="1:9">
      <c r="A47" t="str">
        <f t="shared" si="0"/>
        <v>Rhizo_ant_semi_Spore</v>
      </c>
      <c r="B47" s="8" t="s">
        <v>218</v>
      </c>
      <c r="C47" s="6" t="s">
        <v>220</v>
      </c>
      <c r="D47">
        <v>2</v>
      </c>
      <c r="F47">
        <v>5</v>
      </c>
      <c r="G47" t="s">
        <v>216</v>
      </c>
      <c r="I47" s="18"/>
    </row>
    <row r="48" spans="1:9">
      <c r="A48" t="str">
        <f t="shared" si="0"/>
        <v>Rhizo_poly_Spore</v>
      </c>
      <c r="B48" s="8" t="s">
        <v>225</v>
      </c>
      <c r="C48" s="6" t="s">
        <v>221</v>
      </c>
      <c r="D48">
        <v>2</v>
      </c>
      <c r="F48">
        <v>3</v>
      </c>
      <c r="G48" t="s">
        <v>232</v>
      </c>
      <c r="I48" s="18"/>
    </row>
    <row r="49" spans="1:7">
      <c r="A49" t="str">
        <f t="shared" si="0"/>
        <v>Rhizo_curv_Spore</v>
      </c>
      <c r="B49" s="8" t="s">
        <v>226</v>
      </c>
      <c r="C49" s="6" t="s">
        <v>222</v>
      </c>
      <c r="D49">
        <v>1</v>
      </c>
      <c r="E49" t="s">
        <v>110</v>
      </c>
    </row>
    <row r="50" spans="1:7">
      <c r="A50" t="str">
        <f t="shared" si="0"/>
        <v>Rhizo_crass_Spore</v>
      </c>
      <c r="B50" s="8" t="s">
        <v>227</v>
      </c>
      <c r="C50" s="6" t="s">
        <v>223</v>
      </c>
      <c r="D50">
        <v>1</v>
      </c>
      <c r="E50" t="s">
        <v>110</v>
      </c>
    </row>
    <row r="51" spans="1:7">
      <c r="A51" t="str">
        <f t="shared" si="0"/>
        <v>Rhizo_sima_Spore</v>
      </c>
      <c r="B51" s="8" t="s">
        <v>228</v>
      </c>
      <c r="C51" s="6" t="s">
        <v>224</v>
      </c>
      <c r="D51">
        <v>2</v>
      </c>
      <c r="F51">
        <v>3</v>
      </c>
      <c r="G51" s="13" t="s">
        <v>233</v>
      </c>
    </row>
    <row r="52" spans="1:7">
      <c r="A52" t="str">
        <f t="shared" si="0"/>
        <v>Frag_curta_Spore</v>
      </c>
      <c r="B52" s="8" t="s">
        <v>263</v>
      </c>
      <c r="C52" s="6" t="s">
        <v>259</v>
      </c>
      <c r="D52">
        <v>1</v>
      </c>
      <c r="E52" t="s">
        <v>110</v>
      </c>
    </row>
    <row r="53" spans="1:7">
      <c r="A53" t="str">
        <f t="shared" si="0"/>
        <v>Frag_cylin_Spore</v>
      </c>
      <c r="B53" s="8" t="s">
        <v>35</v>
      </c>
      <c r="C53" s="6" t="s">
        <v>53</v>
      </c>
      <c r="D53">
        <v>1</v>
      </c>
      <c r="E53" t="s">
        <v>110</v>
      </c>
    </row>
    <row r="54" spans="1:7">
      <c r="A54" t="str">
        <f t="shared" si="0"/>
        <v>Frag_rits_Spore</v>
      </c>
      <c r="B54" s="8" t="s">
        <v>264</v>
      </c>
      <c r="C54" s="6" t="s">
        <v>260</v>
      </c>
      <c r="D54">
        <v>1</v>
      </c>
      <c r="E54" t="s">
        <v>110</v>
      </c>
    </row>
    <row r="55" spans="1:7">
      <c r="A55" t="str">
        <f t="shared" si="0"/>
        <v>Frag_sep_Spore</v>
      </c>
      <c r="B55" s="8" t="s">
        <v>265</v>
      </c>
      <c r="C55" s="6" t="s">
        <v>261</v>
      </c>
      <c r="D55">
        <v>1</v>
      </c>
      <c r="E55" t="s">
        <v>110</v>
      </c>
    </row>
    <row r="56" spans="1:7">
      <c r="A56" t="str">
        <f t="shared" si="0"/>
        <v>Core_crio_Spore</v>
      </c>
      <c r="B56" s="1" t="s">
        <v>34</v>
      </c>
      <c r="C56" s="2" t="s">
        <v>5</v>
      </c>
      <c r="D56">
        <v>2</v>
      </c>
      <c r="F56">
        <v>15</v>
      </c>
    </row>
    <row r="57" spans="1:7">
      <c r="A57" t="str">
        <f t="shared" si="0"/>
        <v>Core_penn_Spore</v>
      </c>
      <c r="B57" s="1" t="s">
        <v>275</v>
      </c>
      <c r="C57" s="2" t="s">
        <v>276</v>
      </c>
      <c r="D57">
        <v>2</v>
      </c>
      <c r="F57">
        <v>3</v>
      </c>
    </row>
    <row r="58" spans="1:7">
      <c r="A58" t="str">
        <f t="shared" si="0"/>
        <v>Core_inerme_Spore</v>
      </c>
      <c r="B58" s="1" t="s">
        <v>278</v>
      </c>
      <c r="C58" s="2" t="s">
        <v>279</v>
      </c>
      <c r="D58">
        <v>1</v>
      </c>
      <c r="F58">
        <v>6</v>
      </c>
    </row>
    <row r="59" spans="1:7">
      <c r="A59" t="str">
        <f t="shared" si="0"/>
        <v>Euc_antarc_Spore</v>
      </c>
      <c r="B59" s="1" t="s">
        <v>293</v>
      </c>
      <c r="C59" s="2" t="s">
        <v>69</v>
      </c>
      <c r="D59">
        <v>2</v>
      </c>
      <c r="F59">
        <v>3</v>
      </c>
    </row>
    <row r="60" spans="1:7">
      <c r="A60" t="str">
        <f t="shared" si="0"/>
        <v>Dact_antarc_Spore</v>
      </c>
      <c r="B60" s="1" t="s">
        <v>300</v>
      </c>
      <c r="C60" s="2" t="s">
        <v>68</v>
      </c>
      <c r="D60">
        <v>1</v>
      </c>
      <c r="E60" t="s">
        <v>110</v>
      </c>
    </row>
    <row r="61" spans="1:7">
      <c r="A61" t="str">
        <f t="shared" si="0"/>
        <v>Mem_chall_Spore</v>
      </c>
      <c r="B61" s="8" t="s">
        <v>305</v>
      </c>
      <c r="C61" s="6" t="s">
        <v>306</v>
      </c>
      <c r="D61">
        <v>1</v>
      </c>
      <c r="F61">
        <v>6</v>
      </c>
    </row>
    <row r="62" spans="1:7">
      <c r="A62" t="str">
        <f t="shared" si="0"/>
        <v>Odon_weiss_Spore</v>
      </c>
      <c r="B62" s="1" t="s">
        <v>309</v>
      </c>
      <c r="C62" s="6" t="s">
        <v>310</v>
      </c>
      <c r="D62">
        <v>2</v>
      </c>
      <c r="F62">
        <v>6</v>
      </c>
      <c r="G62" s="14" t="s">
        <v>313</v>
      </c>
    </row>
    <row r="63" spans="1:7">
      <c r="A63" t="str">
        <f t="shared" si="0"/>
        <v>Stel_micro_Spore</v>
      </c>
      <c r="B63" s="1" t="s">
        <v>394</v>
      </c>
      <c r="C63" s="2" t="s">
        <v>395</v>
      </c>
      <c r="D63">
        <v>2</v>
      </c>
    </row>
    <row r="64" spans="1:7">
      <c r="A64" t="str">
        <f t="shared" si="0"/>
        <v>Chaet_dich_Spore</v>
      </c>
      <c r="B64" s="1" t="s">
        <v>409</v>
      </c>
      <c r="C64" s="2" t="s">
        <v>77</v>
      </c>
      <c r="D64">
        <v>1</v>
      </c>
      <c r="E64" t="s">
        <v>419</v>
      </c>
      <c r="F64">
        <v>3</v>
      </c>
    </row>
    <row r="65" spans="1:6">
      <c r="A65" t="str">
        <f t="shared" si="0"/>
        <v>Chaet_peru_Spore</v>
      </c>
      <c r="B65" s="1" t="s">
        <v>410</v>
      </c>
      <c r="C65" s="2" t="s">
        <v>67</v>
      </c>
      <c r="D65">
        <v>1</v>
      </c>
      <c r="F65">
        <v>3</v>
      </c>
    </row>
    <row r="66" spans="1:6">
      <c r="A66" t="str">
        <f t="shared" si="0"/>
        <v>Chaet_deb_Spore</v>
      </c>
      <c r="B66" s="1" t="s">
        <v>411</v>
      </c>
      <c r="C66" s="2" t="s">
        <v>76</v>
      </c>
      <c r="D66">
        <v>2</v>
      </c>
      <c r="E66" t="s">
        <v>417</v>
      </c>
      <c r="F66">
        <v>3</v>
      </c>
    </row>
    <row r="67" spans="1:6">
      <c r="A67" t="str">
        <f t="shared" si="0"/>
        <v>Astero_hya_Spore</v>
      </c>
      <c r="B67" s="1" t="s">
        <v>412</v>
      </c>
      <c r="C67" s="2" t="s">
        <v>406</v>
      </c>
      <c r="D67">
        <v>1</v>
      </c>
      <c r="E67" t="s">
        <v>110</v>
      </c>
    </row>
    <row r="68" spans="1:6">
      <c r="A68" t="str">
        <f t="shared" si="0"/>
        <v>Emil_hux_Spore</v>
      </c>
      <c r="B68" s="1" t="s">
        <v>41</v>
      </c>
      <c r="C68" s="2" t="s">
        <v>407</v>
      </c>
      <c r="D68">
        <v>2</v>
      </c>
      <c r="E68" t="s">
        <v>426</v>
      </c>
      <c r="F68">
        <v>2</v>
      </c>
    </row>
    <row r="69" spans="1:6">
      <c r="A69" t="str">
        <f t="shared" ref="A69" si="1">CONCATENATE(B69,"_Spore")</f>
        <v>Has_trom_Spore</v>
      </c>
      <c r="B69" s="1" t="s">
        <v>413</v>
      </c>
      <c r="C69" s="2" t="s">
        <v>408</v>
      </c>
      <c r="D69">
        <v>1</v>
      </c>
      <c r="E69" t="s">
        <v>110</v>
      </c>
    </row>
    <row r="70" spans="1:6">
      <c r="B70" s="1"/>
      <c r="C70" s="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2F296-2C8E-6540-AA7B-DCBFA30EEAD4}">
  <dimension ref="A1:L69"/>
  <sheetViews>
    <sheetView topLeftCell="D1" workbookViewId="0">
      <selection activeCell="F52" sqref="F52"/>
    </sheetView>
  </sheetViews>
  <sheetFormatPr defaultColWidth="11" defaultRowHeight="15.75"/>
  <cols>
    <col min="1" max="1" width="21" bestFit="1" customWidth="1"/>
    <col min="2" max="2" width="24.875" customWidth="1"/>
    <col min="3" max="3" width="32.125" bestFit="1" customWidth="1"/>
    <col min="4" max="4" width="11" bestFit="1" customWidth="1"/>
    <col min="5" max="5" width="44.125" bestFit="1" customWidth="1"/>
    <col min="11" max="11" width="26.875" bestFit="1" customWidth="1"/>
  </cols>
  <sheetData>
    <row r="1" spans="1:10">
      <c r="A1" s="11"/>
      <c r="B1" t="s">
        <v>403</v>
      </c>
      <c r="C1" s="11"/>
    </row>
    <row r="2" spans="1:10" s="10" customFormat="1" ht="21" customHeight="1">
      <c r="A2" s="11" t="s">
        <v>95</v>
      </c>
      <c r="B2" s="11" t="s">
        <v>96</v>
      </c>
      <c r="C2" s="11" t="s">
        <v>78</v>
      </c>
      <c r="I2" s="10" t="s">
        <v>113</v>
      </c>
      <c r="J2" s="10" t="s">
        <v>399</v>
      </c>
    </row>
    <row r="3" spans="1:10" s="4" customFormat="1">
      <c r="A3" s="4" t="s">
        <v>377</v>
      </c>
      <c r="B3" s="4" t="s">
        <v>81</v>
      </c>
      <c r="C3" s="4" t="s">
        <v>10</v>
      </c>
      <c r="D3" s="4" t="s">
        <v>30</v>
      </c>
      <c r="E3" s="4" t="s">
        <v>82</v>
      </c>
      <c r="F3" s="4" t="s">
        <v>79</v>
      </c>
    </row>
    <row r="4" spans="1:10">
      <c r="A4" t="str">
        <f>CONCATENATE(B4,"_Robust")</f>
        <v>Chaet_flex_Robust</v>
      </c>
      <c r="B4" s="1" t="s">
        <v>60</v>
      </c>
      <c r="C4" s="9" t="s">
        <v>58</v>
      </c>
      <c r="D4">
        <v>0.1</v>
      </c>
      <c r="E4" t="s">
        <v>418</v>
      </c>
      <c r="F4">
        <v>2</v>
      </c>
    </row>
    <row r="5" spans="1:10">
      <c r="A5" t="str">
        <f t="shared" ref="A5:A68" si="0">CONCATENATE(B5,"_Robust")</f>
        <v>Chaet_grac_Robust</v>
      </c>
      <c r="B5" s="1" t="s">
        <v>61</v>
      </c>
      <c r="C5" s="9" t="s">
        <v>52</v>
      </c>
      <c r="D5">
        <v>0.1</v>
      </c>
      <c r="E5" t="s">
        <v>416</v>
      </c>
      <c r="F5">
        <v>3</v>
      </c>
    </row>
    <row r="6" spans="1:10">
      <c r="A6" t="str">
        <f t="shared" si="0"/>
        <v>Prob_inerm_Robust</v>
      </c>
      <c r="B6" s="1" t="s">
        <v>62</v>
      </c>
      <c r="C6" s="9" t="s">
        <v>57</v>
      </c>
      <c r="D6">
        <v>0.1</v>
      </c>
      <c r="E6" t="s">
        <v>400</v>
      </c>
    </row>
    <row r="7" spans="1:10">
      <c r="A7" t="str">
        <f t="shared" si="0"/>
        <v>Frag_island_Robust</v>
      </c>
      <c r="B7" s="1" t="s">
        <v>63</v>
      </c>
      <c r="C7" s="9" t="s">
        <v>59</v>
      </c>
      <c r="D7">
        <v>0.1</v>
      </c>
      <c r="E7" t="s">
        <v>400</v>
      </c>
    </row>
    <row r="8" spans="1:10">
      <c r="A8" t="str">
        <f t="shared" si="0"/>
        <v>Phae_antarc_Robust</v>
      </c>
      <c r="B8" s="1" t="s">
        <v>64</v>
      </c>
      <c r="C8" s="9" t="s">
        <v>54</v>
      </c>
      <c r="D8">
        <v>0.1</v>
      </c>
    </row>
    <row r="9" spans="1:10">
      <c r="A9" t="str">
        <f t="shared" si="0"/>
        <v>Frag_sp5_Robust</v>
      </c>
      <c r="B9" s="1" t="s">
        <v>65</v>
      </c>
      <c r="C9" s="9" t="s">
        <v>55</v>
      </c>
      <c r="D9">
        <v>0.1</v>
      </c>
      <c r="E9" t="s">
        <v>400</v>
      </c>
    </row>
    <row r="10" spans="1:10">
      <c r="A10" t="str">
        <f t="shared" si="0"/>
        <v>Lennox_fav_Robust</v>
      </c>
      <c r="B10" s="1" t="s">
        <v>66</v>
      </c>
      <c r="C10" s="9" t="s">
        <v>56</v>
      </c>
      <c r="D10">
        <v>0.1</v>
      </c>
      <c r="E10" t="s">
        <v>400</v>
      </c>
    </row>
    <row r="11" spans="1:10">
      <c r="A11" t="str">
        <f t="shared" si="0"/>
        <v>Actino_curv_Robust</v>
      </c>
      <c r="B11" s="1" t="s">
        <v>42</v>
      </c>
      <c r="C11" s="2" t="s">
        <v>14</v>
      </c>
      <c r="D11">
        <v>1</v>
      </c>
      <c r="E11" t="s">
        <v>253</v>
      </c>
      <c r="F11" t="s">
        <v>258</v>
      </c>
    </row>
    <row r="12" spans="1:10">
      <c r="A12" t="str">
        <f t="shared" si="0"/>
        <v>Astero_hept_Robust</v>
      </c>
      <c r="B12" s="1" t="s">
        <v>43</v>
      </c>
      <c r="C12" s="2" t="s">
        <v>15</v>
      </c>
      <c r="D12">
        <v>1</v>
      </c>
      <c r="E12" t="s">
        <v>256</v>
      </c>
      <c r="F12">
        <v>10</v>
      </c>
    </row>
    <row r="13" spans="1:10">
      <c r="A13" t="str">
        <f t="shared" si="0"/>
        <v>Astero_robust_Robust</v>
      </c>
      <c r="B13" s="1" t="s">
        <v>44</v>
      </c>
      <c r="C13" s="2" t="s">
        <v>16</v>
      </c>
      <c r="D13">
        <v>1</v>
      </c>
      <c r="E13" t="s">
        <v>256</v>
      </c>
      <c r="F13">
        <v>10</v>
      </c>
    </row>
    <row r="14" spans="1:10">
      <c r="A14" t="str">
        <f t="shared" si="0"/>
        <v>Coscino_marg_Robust</v>
      </c>
      <c r="B14" s="1" t="s">
        <v>45</v>
      </c>
      <c r="C14" s="2" t="s">
        <v>17</v>
      </c>
      <c r="D14">
        <v>1</v>
      </c>
      <c r="E14" t="s">
        <v>118</v>
      </c>
      <c r="F14" t="s">
        <v>119</v>
      </c>
    </row>
    <row r="15" spans="1:10">
      <c r="A15" t="str">
        <f t="shared" si="0"/>
        <v>Coscino_oculus_Robust</v>
      </c>
      <c r="B15" s="1" t="s">
        <v>46</v>
      </c>
      <c r="C15" s="2" t="s">
        <v>18</v>
      </c>
      <c r="D15">
        <v>1</v>
      </c>
      <c r="E15" t="s">
        <v>108</v>
      </c>
      <c r="F15">
        <v>4</v>
      </c>
    </row>
    <row r="16" spans="1:10">
      <c r="A16" t="str">
        <f t="shared" si="0"/>
        <v>Coscino_spp20_Robust</v>
      </c>
      <c r="B16" s="1" t="s">
        <v>47</v>
      </c>
      <c r="C16" s="2" t="s">
        <v>19</v>
      </c>
      <c r="D16">
        <v>1</v>
      </c>
      <c r="E16" t="s">
        <v>117</v>
      </c>
    </row>
    <row r="17" spans="1:11">
      <c r="A17" t="str">
        <f t="shared" si="0"/>
        <v>Podo_elegans_Robust</v>
      </c>
      <c r="B17" s="1" t="s">
        <v>48</v>
      </c>
      <c r="C17" s="2" t="s">
        <v>20</v>
      </c>
      <c r="D17">
        <v>1</v>
      </c>
      <c r="E17" t="s">
        <v>108</v>
      </c>
      <c r="F17">
        <v>13</v>
      </c>
    </row>
    <row r="18" spans="1:11">
      <c r="A18" t="str">
        <f t="shared" si="0"/>
        <v>Thalas_trif_Robust</v>
      </c>
      <c r="B18" s="1" t="s">
        <v>49</v>
      </c>
      <c r="C18" s="2" t="s">
        <v>21</v>
      </c>
      <c r="D18">
        <v>0.5</v>
      </c>
      <c r="E18" t="s">
        <v>145</v>
      </c>
      <c r="F18">
        <v>8</v>
      </c>
    </row>
    <row r="19" spans="1:11">
      <c r="A19" t="str">
        <f t="shared" si="0"/>
        <v>Nitz_spp_Robust</v>
      </c>
      <c r="B19" s="1" t="s">
        <v>50</v>
      </c>
      <c r="C19" s="2" t="s">
        <v>22</v>
      </c>
      <c r="D19">
        <v>0.1</v>
      </c>
      <c r="E19" t="s">
        <v>400</v>
      </c>
    </row>
    <row r="20" spans="1:11">
      <c r="A20" t="str">
        <f t="shared" si="0"/>
        <v>Thala_antarc_Robust</v>
      </c>
      <c r="B20" s="1" t="s">
        <v>38</v>
      </c>
      <c r="C20" s="2" t="s">
        <v>7</v>
      </c>
      <c r="D20">
        <v>1</v>
      </c>
      <c r="E20" t="s">
        <v>108</v>
      </c>
      <c r="F20">
        <v>8</v>
      </c>
    </row>
    <row r="21" spans="1:11">
      <c r="A21" t="str">
        <f t="shared" si="0"/>
        <v>Thala_grav_Robust</v>
      </c>
      <c r="B21" s="1" t="s">
        <v>39</v>
      </c>
      <c r="C21" s="2" t="s">
        <v>8</v>
      </c>
      <c r="D21">
        <v>0.5</v>
      </c>
      <c r="E21" t="s">
        <v>379</v>
      </c>
      <c r="F21">
        <v>4</v>
      </c>
    </row>
    <row r="22" spans="1:11">
      <c r="A22" t="str">
        <f t="shared" si="0"/>
        <v>Bact_bath_Robust</v>
      </c>
      <c r="B22" s="1" t="s">
        <v>32</v>
      </c>
      <c r="C22" s="2" t="s">
        <v>3</v>
      </c>
      <c r="D22">
        <v>1</v>
      </c>
      <c r="E22" t="s">
        <v>108</v>
      </c>
      <c r="F22">
        <v>4</v>
      </c>
    </row>
    <row r="23" spans="1:11">
      <c r="A23" t="str">
        <f t="shared" si="0"/>
        <v>Neo_sem_Robust</v>
      </c>
      <c r="B23" s="1" t="s">
        <v>36</v>
      </c>
      <c r="C23" s="2" t="s">
        <v>6</v>
      </c>
      <c r="D23">
        <v>1</v>
      </c>
      <c r="E23" t="s">
        <v>108</v>
      </c>
      <c r="F23">
        <v>4</v>
      </c>
    </row>
    <row r="24" spans="1:11">
      <c r="A24" t="str">
        <f t="shared" si="0"/>
        <v>Rhizo_heb_semi_Robust</v>
      </c>
      <c r="B24" s="1" t="s">
        <v>37</v>
      </c>
      <c r="C24" s="2" t="s">
        <v>111</v>
      </c>
      <c r="D24">
        <v>1</v>
      </c>
      <c r="E24" t="s">
        <v>217</v>
      </c>
      <c r="F24">
        <v>5</v>
      </c>
      <c r="I24" t="s">
        <v>235</v>
      </c>
      <c r="J24" t="s">
        <v>11</v>
      </c>
      <c r="K24" t="s">
        <v>250</v>
      </c>
    </row>
    <row r="25" spans="1:11">
      <c r="A25" t="str">
        <f t="shared" si="0"/>
        <v>Rhizo_heb_hiem_Robust</v>
      </c>
      <c r="B25" s="1" t="s">
        <v>393</v>
      </c>
      <c r="C25" s="2" t="s">
        <v>112</v>
      </c>
      <c r="D25">
        <v>1</v>
      </c>
      <c r="E25" t="s">
        <v>108</v>
      </c>
      <c r="F25">
        <v>4</v>
      </c>
      <c r="I25" t="s">
        <v>236</v>
      </c>
      <c r="J25" t="s">
        <v>237</v>
      </c>
      <c r="K25" t="s">
        <v>250</v>
      </c>
    </row>
    <row r="26" spans="1:11">
      <c r="A26" t="str">
        <f t="shared" si="0"/>
        <v>Thalx_long_Robust</v>
      </c>
      <c r="B26" s="1" t="s">
        <v>40</v>
      </c>
      <c r="C26" s="2" t="s">
        <v>9</v>
      </c>
      <c r="D26">
        <v>1</v>
      </c>
      <c r="E26" t="s">
        <v>108</v>
      </c>
      <c r="F26">
        <v>4</v>
      </c>
      <c r="I26" t="s">
        <v>12</v>
      </c>
      <c r="J26" t="s">
        <v>238</v>
      </c>
      <c r="K26" t="s">
        <v>250</v>
      </c>
    </row>
    <row r="27" spans="1:11">
      <c r="A27" t="str">
        <f t="shared" si="0"/>
        <v>Thalx_antarc_Robust</v>
      </c>
      <c r="B27" s="8" t="s">
        <v>136</v>
      </c>
      <c r="C27" s="6" t="s">
        <v>135</v>
      </c>
      <c r="D27">
        <v>1</v>
      </c>
      <c r="E27" t="s">
        <v>108</v>
      </c>
      <c r="F27">
        <v>5</v>
      </c>
    </row>
    <row r="28" spans="1:11">
      <c r="A28" t="str">
        <f t="shared" si="0"/>
        <v>Frag_kerg_Robust</v>
      </c>
      <c r="B28" s="8" t="s">
        <v>142</v>
      </c>
      <c r="C28" s="6" t="s">
        <v>70</v>
      </c>
      <c r="D28">
        <v>1</v>
      </c>
      <c r="E28" t="s">
        <v>255</v>
      </c>
      <c r="F28" t="s">
        <v>442</v>
      </c>
      <c r="I28" t="s">
        <v>13</v>
      </c>
      <c r="J28" t="s">
        <v>239</v>
      </c>
      <c r="K28" t="s">
        <v>251</v>
      </c>
    </row>
    <row r="29" spans="1:11">
      <c r="A29" t="str">
        <f t="shared" si="0"/>
        <v>Pseudo_line_Robust</v>
      </c>
      <c r="B29" s="8" t="s">
        <v>146</v>
      </c>
      <c r="C29" s="6" t="s">
        <v>147</v>
      </c>
      <c r="D29">
        <v>0.5</v>
      </c>
      <c r="E29" t="s">
        <v>145</v>
      </c>
      <c r="F29">
        <v>8</v>
      </c>
      <c r="I29" t="s">
        <v>13</v>
      </c>
      <c r="J29" t="s">
        <v>240</v>
      </c>
      <c r="K29" t="s">
        <v>251</v>
      </c>
    </row>
    <row r="30" spans="1:11">
      <c r="A30" t="str">
        <f t="shared" si="0"/>
        <v>Thala_grac_Robust</v>
      </c>
      <c r="B30" s="8" t="s">
        <v>153</v>
      </c>
      <c r="C30" s="6" t="s">
        <v>150</v>
      </c>
      <c r="D30">
        <v>1</v>
      </c>
      <c r="E30" t="s">
        <v>154</v>
      </c>
      <c r="F30" t="s">
        <v>155</v>
      </c>
      <c r="I30" t="s">
        <v>13</v>
      </c>
      <c r="J30" t="s">
        <v>241</v>
      </c>
      <c r="K30" t="s">
        <v>251</v>
      </c>
    </row>
    <row r="31" spans="1:11">
      <c r="A31" t="str">
        <f t="shared" si="0"/>
        <v>Frag_pseud_Robust</v>
      </c>
      <c r="B31" s="8" t="s">
        <v>157</v>
      </c>
      <c r="C31" s="6" t="s">
        <v>156</v>
      </c>
      <c r="D31">
        <v>0.5</v>
      </c>
      <c r="E31" t="s">
        <v>176</v>
      </c>
      <c r="F31" t="s">
        <v>160</v>
      </c>
    </row>
    <row r="32" spans="1:11">
      <c r="A32" t="str">
        <f t="shared" si="0"/>
        <v>Nav_direc_Robust</v>
      </c>
      <c r="B32" s="8" t="s">
        <v>161</v>
      </c>
      <c r="C32" s="6" t="s">
        <v>162</v>
      </c>
      <c r="D32">
        <v>1</v>
      </c>
      <c r="E32" t="s">
        <v>108</v>
      </c>
      <c r="F32">
        <v>8</v>
      </c>
      <c r="I32" t="s">
        <v>242</v>
      </c>
      <c r="J32" t="s">
        <v>243</v>
      </c>
      <c r="K32" t="s">
        <v>251</v>
      </c>
    </row>
    <row r="33" spans="1:11">
      <c r="A33" t="str">
        <f t="shared" si="0"/>
        <v>Thala_lent_Robust</v>
      </c>
      <c r="B33" s="8" t="s">
        <v>165</v>
      </c>
      <c r="C33" s="6" t="s">
        <v>166</v>
      </c>
      <c r="D33">
        <v>1</v>
      </c>
      <c r="E33" t="s">
        <v>253</v>
      </c>
      <c r="F33" t="s">
        <v>254</v>
      </c>
    </row>
    <row r="34" spans="1:11">
      <c r="A34" t="str">
        <f t="shared" si="0"/>
        <v>Pseudo_heim_Robust</v>
      </c>
      <c r="B34" s="8" t="s">
        <v>169</v>
      </c>
      <c r="C34" s="6" t="s">
        <v>170</v>
      </c>
      <c r="D34">
        <v>0.5</v>
      </c>
      <c r="E34" t="s">
        <v>145</v>
      </c>
      <c r="F34">
        <v>8</v>
      </c>
    </row>
    <row r="35" spans="1:11">
      <c r="A35" t="str">
        <f t="shared" si="0"/>
        <v>Frag_rhomb_Robust</v>
      </c>
      <c r="B35" s="1" t="s">
        <v>172</v>
      </c>
      <c r="C35" s="2" t="s">
        <v>71</v>
      </c>
      <c r="D35">
        <v>1</v>
      </c>
      <c r="E35" t="s">
        <v>108</v>
      </c>
      <c r="F35" t="s">
        <v>262</v>
      </c>
      <c r="I35" t="s">
        <v>234</v>
      </c>
      <c r="J35" t="s">
        <v>244</v>
      </c>
      <c r="K35" t="s">
        <v>252</v>
      </c>
    </row>
    <row r="36" spans="1:11">
      <c r="A36" t="str">
        <f t="shared" si="0"/>
        <v>Azp_tab_Robust</v>
      </c>
      <c r="B36" s="8" t="s">
        <v>179</v>
      </c>
      <c r="C36" s="6" t="s">
        <v>178</v>
      </c>
      <c r="D36">
        <v>1</v>
      </c>
      <c r="E36" t="s">
        <v>108</v>
      </c>
      <c r="F36">
        <v>8</v>
      </c>
    </row>
    <row r="37" spans="1:11">
      <c r="A37" t="str">
        <f t="shared" si="0"/>
        <v>Thal_olive_Robust</v>
      </c>
      <c r="B37" s="8" t="s">
        <v>182</v>
      </c>
      <c r="C37" s="6" t="s">
        <v>183</v>
      </c>
      <c r="D37">
        <v>1</v>
      </c>
      <c r="E37" t="s">
        <v>257</v>
      </c>
      <c r="F37" t="s">
        <v>254</v>
      </c>
    </row>
    <row r="38" spans="1:11">
      <c r="A38" t="str">
        <f t="shared" si="0"/>
        <v>Chaet_atlant_Robust</v>
      </c>
      <c r="B38" s="1" t="s">
        <v>33</v>
      </c>
      <c r="C38" s="2" t="s">
        <v>4</v>
      </c>
      <c r="D38">
        <v>0.5</v>
      </c>
      <c r="E38" t="s">
        <v>191</v>
      </c>
      <c r="F38" t="s">
        <v>190</v>
      </c>
      <c r="I38" t="s">
        <v>234</v>
      </c>
      <c r="J38" t="s">
        <v>245</v>
      </c>
      <c r="K38" t="s">
        <v>252</v>
      </c>
    </row>
    <row r="39" spans="1:11">
      <c r="A39" t="str">
        <f t="shared" si="0"/>
        <v>Thal_nitz_Robust</v>
      </c>
      <c r="B39" s="8" t="s">
        <v>192</v>
      </c>
      <c r="C39" s="6" t="s">
        <v>74</v>
      </c>
      <c r="D39">
        <v>1</v>
      </c>
      <c r="E39" t="s">
        <v>108</v>
      </c>
      <c r="F39">
        <v>8</v>
      </c>
    </row>
    <row r="40" spans="1:11">
      <c r="A40" t="str">
        <f t="shared" si="0"/>
        <v>Nitz_bicap_Robust</v>
      </c>
      <c r="B40" s="8" t="s">
        <v>195</v>
      </c>
      <c r="C40" s="6" t="s">
        <v>72</v>
      </c>
      <c r="D40">
        <v>1</v>
      </c>
      <c r="E40" t="s">
        <v>108</v>
      </c>
      <c r="F40">
        <v>8</v>
      </c>
    </row>
    <row r="41" spans="1:11">
      <c r="A41" t="str">
        <f t="shared" si="0"/>
        <v>Hem_cune_Robust</v>
      </c>
      <c r="B41" s="8" t="s">
        <v>197</v>
      </c>
      <c r="C41" s="6" t="s">
        <v>196</v>
      </c>
      <c r="D41">
        <v>1</v>
      </c>
      <c r="E41" t="s">
        <v>108</v>
      </c>
      <c r="F41">
        <v>8</v>
      </c>
      <c r="I41" t="s">
        <v>246</v>
      </c>
      <c r="J41" t="s">
        <v>238</v>
      </c>
      <c r="K41" t="s">
        <v>252</v>
      </c>
    </row>
    <row r="42" spans="1:11">
      <c r="A42" t="str">
        <f t="shared" si="0"/>
        <v>Rope_tess_Robust</v>
      </c>
      <c r="B42" s="8" t="s">
        <v>200</v>
      </c>
      <c r="C42" s="6" t="s">
        <v>73</v>
      </c>
      <c r="D42">
        <v>1</v>
      </c>
      <c r="E42" t="s">
        <v>108</v>
      </c>
      <c r="F42">
        <v>8</v>
      </c>
    </row>
    <row r="43" spans="1:11">
      <c r="A43" t="str">
        <f t="shared" si="0"/>
        <v>Thala_line_Robust</v>
      </c>
      <c r="B43" s="8" t="s">
        <v>203</v>
      </c>
      <c r="C43" s="6" t="s">
        <v>204</v>
      </c>
      <c r="D43">
        <v>1</v>
      </c>
      <c r="E43" t="s">
        <v>108</v>
      </c>
      <c r="F43">
        <v>8</v>
      </c>
      <c r="I43" t="s">
        <v>247</v>
      </c>
      <c r="J43" t="s">
        <v>11</v>
      </c>
      <c r="K43" t="s">
        <v>252</v>
      </c>
    </row>
    <row r="44" spans="1:11">
      <c r="A44" t="str">
        <f t="shared" si="0"/>
        <v>Thala_ecc_Robust</v>
      </c>
      <c r="B44" s="1" t="s">
        <v>208</v>
      </c>
      <c r="C44" s="2" t="s">
        <v>206</v>
      </c>
      <c r="D44">
        <v>1</v>
      </c>
      <c r="E44" t="s">
        <v>108</v>
      </c>
      <c r="F44">
        <v>8</v>
      </c>
    </row>
    <row r="45" spans="1:11">
      <c r="A45" t="str">
        <f t="shared" si="0"/>
        <v>Thala_oest_Robust</v>
      </c>
      <c r="B45" s="1" t="s">
        <v>355</v>
      </c>
      <c r="C45" s="2" t="s">
        <v>354</v>
      </c>
      <c r="D45">
        <v>1</v>
      </c>
      <c r="E45" t="s">
        <v>108</v>
      </c>
      <c r="F45">
        <v>8</v>
      </c>
    </row>
    <row r="46" spans="1:11">
      <c r="A46" t="str">
        <f t="shared" si="0"/>
        <v>Trich_rein_Robust</v>
      </c>
      <c r="B46" s="8" t="s">
        <v>213</v>
      </c>
      <c r="C46" s="6" t="s">
        <v>212</v>
      </c>
      <c r="D46">
        <v>1</v>
      </c>
      <c r="E46" t="s">
        <v>108</v>
      </c>
      <c r="F46">
        <v>5</v>
      </c>
      <c r="I46" t="s">
        <v>12</v>
      </c>
      <c r="J46" t="s">
        <v>248</v>
      </c>
      <c r="K46" t="s">
        <v>252</v>
      </c>
    </row>
    <row r="47" spans="1:11">
      <c r="A47" t="str">
        <f t="shared" si="0"/>
        <v>Rhizo_ant_semi_Robust</v>
      </c>
      <c r="B47" s="8" t="s">
        <v>218</v>
      </c>
      <c r="C47" s="6" t="s">
        <v>220</v>
      </c>
      <c r="D47">
        <v>1</v>
      </c>
      <c r="E47" t="s">
        <v>108</v>
      </c>
      <c r="F47">
        <v>5</v>
      </c>
      <c r="I47" t="s">
        <v>211</v>
      </c>
      <c r="J47" t="s">
        <v>249</v>
      </c>
      <c r="K47" t="s">
        <v>252</v>
      </c>
    </row>
    <row r="48" spans="1:11">
      <c r="A48" t="str">
        <f t="shared" si="0"/>
        <v>Rhizo_poly_Robust</v>
      </c>
      <c r="B48" s="8" t="s">
        <v>225</v>
      </c>
      <c r="C48" s="6" t="s">
        <v>221</v>
      </c>
      <c r="D48">
        <v>1</v>
      </c>
      <c r="E48" t="s">
        <v>108</v>
      </c>
      <c r="F48">
        <v>5</v>
      </c>
    </row>
    <row r="49" spans="1:12">
      <c r="A49" t="str">
        <f t="shared" si="0"/>
        <v>Rhizo_curv_Robust</v>
      </c>
      <c r="B49" s="8" t="s">
        <v>226</v>
      </c>
      <c r="C49" s="6" t="s">
        <v>222</v>
      </c>
      <c r="D49">
        <v>1</v>
      </c>
      <c r="E49" t="s">
        <v>108</v>
      </c>
      <c r="F49">
        <v>5</v>
      </c>
    </row>
    <row r="50" spans="1:12">
      <c r="A50" t="str">
        <f t="shared" si="0"/>
        <v>Rhizo_crass_Robust</v>
      </c>
      <c r="B50" s="8" t="s">
        <v>227</v>
      </c>
      <c r="C50" s="6" t="s">
        <v>223</v>
      </c>
      <c r="D50">
        <v>1</v>
      </c>
      <c r="E50" t="s">
        <v>108</v>
      </c>
      <c r="F50">
        <v>5</v>
      </c>
    </row>
    <row r="51" spans="1:12">
      <c r="A51" t="str">
        <f t="shared" si="0"/>
        <v>Rhizo_sima_Robust</v>
      </c>
      <c r="B51" s="8" t="s">
        <v>228</v>
      </c>
      <c r="C51" s="6" t="s">
        <v>224</v>
      </c>
      <c r="D51">
        <v>1</v>
      </c>
      <c r="E51" t="s">
        <v>108</v>
      </c>
      <c r="F51">
        <v>5</v>
      </c>
    </row>
    <row r="52" spans="1:12">
      <c r="A52" t="str">
        <f t="shared" si="0"/>
        <v>Frag_curta_Robust</v>
      </c>
      <c r="B52" s="8" t="s">
        <v>263</v>
      </c>
      <c r="C52" s="6" t="s">
        <v>259</v>
      </c>
      <c r="D52">
        <v>1</v>
      </c>
      <c r="E52" t="s">
        <v>253</v>
      </c>
      <c r="F52" t="s">
        <v>267</v>
      </c>
    </row>
    <row r="53" spans="1:12">
      <c r="A53" t="str">
        <f t="shared" si="0"/>
        <v>Frag_cylin_Robust</v>
      </c>
      <c r="B53" s="8" t="s">
        <v>35</v>
      </c>
      <c r="C53" s="6" t="s">
        <v>53</v>
      </c>
      <c r="D53">
        <v>1</v>
      </c>
      <c r="E53" t="s">
        <v>266</v>
      </c>
      <c r="F53" t="s">
        <v>267</v>
      </c>
      <c r="K53" s="17"/>
      <c r="L53" s="5"/>
    </row>
    <row r="54" spans="1:12">
      <c r="A54" t="str">
        <f t="shared" si="0"/>
        <v>Frag_rits_Robust</v>
      </c>
      <c r="B54" s="8" t="s">
        <v>264</v>
      </c>
      <c r="C54" s="6" t="s">
        <v>260</v>
      </c>
      <c r="D54">
        <v>1</v>
      </c>
      <c r="E54" t="s">
        <v>253</v>
      </c>
      <c r="F54" t="s">
        <v>267</v>
      </c>
      <c r="K54" s="17"/>
      <c r="L54" s="5"/>
    </row>
    <row r="55" spans="1:12">
      <c r="A55" t="str">
        <f t="shared" si="0"/>
        <v>Frag_sep_Robust</v>
      </c>
      <c r="B55" s="8" t="s">
        <v>265</v>
      </c>
      <c r="C55" s="6" t="s">
        <v>261</v>
      </c>
      <c r="D55">
        <v>1</v>
      </c>
      <c r="E55" t="s">
        <v>266</v>
      </c>
      <c r="F55" t="s">
        <v>267</v>
      </c>
      <c r="K55" s="17"/>
      <c r="L55" s="5"/>
    </row>
    <row r="56" spans="1:12">
      <c r="A56" t="str">
        <f t="shared" si="0"/>
        <v>Core_crio_Robust</v>
      </c>
      <c r="B56" s="1" t="s">
        <v>34</v>
      </c>
      <c r="C56" s="2" t="s">
        <v>5</v>
      </c>
      <c r="D56">
        <v>0.5</v>
      </c>
      <c r="E56" t="s">
        <v>289</v>
      </c>
      <c r="F56" t="s">
        <v>286</v>
      </c>
      <c r="K56" s="17"/>
      <c r="L56" s="5"/>
    </row>
    <row r="57" spans="1:12">
      <c r="A57" t="str">
        <f t="shared" si="0"/>
        <v>Core_penn_Robust</v>
      </c>
      <c r="B57" s="1" t="s">
        <v>275</v>
      </c>
      <c r="C57" s="2" t="s">
        <v>276</v>
      </c>
      <c r="D57">
        <v>0.5</v>
      </c>
      <c r="E57" t="s">
        <v>290</v>
      </c>
      <c r="F57" t="s">
        <v>287</v>
      </c>
      <c r="K57" s="17"/>
      <c r="L57" s="5"/>
    </row>
    <row r="58" spans="1:12">
      <c r="A58" t="str">
        <f t="shared" si="0"/>
        <v>Core_inerme_Robust</v>
      </c>
      <c r="B58" s="1" t="s">
        <v>278</v>
      </c>
      <c r="C58" s="2" t="s">
        <v>279</v>
      </c>
      <c r="D58">
        <v>0.1</v>
      </c>
      <c r="E58" t="s">
        <v>291</v>
      </c>
      <c r="F58" t="s">
        <v>288</v>
      </c>
      <c r="K58" s="17"/>
      <c r="L58" s="5"/>
    </row>
    <row r="59" spans="1:12">
      <c r="A59" t="str">
        <f t="shared" si="0"/>
        <v>Euc_antarc_Robust</v>
      </c>
      <c r="B59" s="1" t="s">
        <v>293</v>
      </c>
      <c r="C59" s="2" t="s">
        <v>69</v>
      </c>
      <c r="D59">
        <v>0.1</v>
      </c>
      <c r="E59" t="s">
        <v>400</v>
      </c>
      <c r="K59" s="17"/>
      <c r="L59" s="5"/>
    </row>
    <row r="60" spans="1:12">
      <c r="A60" t="str">
        <f t="shared" si="0"/>
        <v>Dact_antarc_Robust</v>
      </c>
      <c r="B60" s="1" t="s">
        <v>300</v>
      </c>
      <c r="C60" s="2" t="s">
        <v>68</v>
      </c>
      <c r="D60">
        <v>0.1</v>
      </c>
      <c r="E60" t="s">
        <v>400</v>
      </c>
    </row>
    <row r="61" spans="1:12">
      <c r="A61" t="str">
        <f t="shared" si="0"/>
        <v>Mem_chall_Robust</v>
      </c>
      <c r="B61" s="8" t="s">
        <v>305</v>
      </c>
      <c r="C61" s="6" t="s">
        <v>306</v>
      </c>
      <c r="D61">
        <v>0.1</v>
      </c>
      <c r="E61" t="s">
        <v>400</v>
      </c>
    </row>
    <row r="62" spans="1:12">
      <c r="A62" t="str">
        <f t="shared" si="0"/>
        <v>Odon_weiss_Robust</v>
      </c>
      <c r="B62" s="1" t="s">
        <v>309</v>
      </c>
      <c r="C62" s="6" t="s">
        <v>310</v>
      </c>
      <c r="D62">
        <v>0.1</v>
      </c>
      <c r="E62" t="s">
        <v>312</v>
      </c>
      <c r="F62">
        <v>3</v>
      </c>
    </row>
    <row r="63" spans="1:12">
      <c r="A63" t="str">
        <f t="shared" si="0"/>
        <v>Stel_micro_Robust</v>
      </c>
      <c r="B63" s="1" t="s">
        <v>394</v>
      </c>
      <c r="C63" s="2" t="s">
        <v>395</v>
      </c>
      <c r="D63">
        <v>0.1</v>
      </c>
      <c r="E63" t="s">
        <v>400</v>
      </c>
    </row>
    <row r="64" spans="1:12">
      <c r="A64" t="str">
        <f t="shared" si="0"/>
        <v>Chaet_dich_Robust</v>
      </c>
      <c r="B64" s="1" t="s">
        <v>409</v>
      </c>
      <c r="C64" s="2" t="s">
        <v>77</v>
      </c>
      <c r="D64">
        <v>0.5</v>
      </c>
      <c r="E64" t="s">
        <v>189</v>
      </c>
    </row>
    <row r="65" spans="1:5">
      <c r="A65" t="str">
        <f t="shared" si="0"/>
        <v>Chaet_peru_Robust</v>
      </c>
      <c r="B65" s="1" t="s">
        <v>410</v>
      </c>
      <c r="C65" s="2" t="s">
        <v>67</v>
      </c>
      <c r="D65">
        <v>0.5</v>
      </c>
      <c r="E65" t="s">
        <v>189</v>
      </c>
    </row>
    <row r="66" spans="1:5">
      <c r="A66" t="str">
        <f t="shared" si="0"/>
        <v>Chaet_deb_Robust</v>
      </c>
      <c r="B66" s="1" t="s">
        <v>411</v>
      </c>
      <c r="C66" s="2" t="s">
        <v>76</v>
      </c>
      <c r="D66">
        <v>0.1</v>
      </c>
      <c r="E66" t="s">
        <v>416</v>
      </c>
    </row>
    <row r="67" spans="1:5">
      <c r="A67" t="str">
        <f t="shared" si="0"/>
        <v>Astero_hya_Robust</v>
      </c>
      <c r="B67" s="1" t="s">
        <v>412</v>
      </c>
      <c r="C67" s="2" t="s">
        <v>406</v>
      </c>
      <c r="D67">
        <v>1</v>
      </c>
      <c r="E67" t="s">
        <v>256</v>
      </c>
    </row>
    <row r="68" spans="1:5">
      <c r="A68" t="str">
        <f t="shared" si="0"/>
        <v>Emil_hux_Robust</v>
      </c>
      <c r="B68" s="1" t="s">
        <v>41</v>
      </c>
      <c r="C68" s="2" t="s">
        <v>407</v>
      </c>
      <c r="D68">
        <v>0</v>
      </c>
    </row>
    <row r="69" spans="1:5">
      <c r="A69" t="str">
        <f t="shared" ref="A69" si="1">CONCATENATE(B69,"_Robust")</f>
        <v>Has_trom_Robust</v>
      </c>
      <c r="B69" s="1" t="s">
        <v>413</v>
      </c>
      <c r="C69" s="2" t="s">
        <v>408</v>
      </c>
      <c r="D69">
        <v>0.1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FB42A-6B08-3C4F-AC8C-EDD4040DFEA8}">
  <dimension ref="A1:M69"/>
  <sheetViews>
    <sheetView topLeftCell="D1" workbookViewId="0">
      <selection activeCell="M7" sqref="M7"/>
    </sheetView>
  </sheetViews>
  <sheetFormatPr defaultColWidth="11" defaultRowHeight="15.75"/>
  <cols>
    <col min="1" max="1" width="21" bestFit="1" customWidth="1"/>
    <col min="3" max="3" width="20.125" bestFit="1" customWidth="1"/>
    <col min="4" max="4" width="13" bestFit="1" customWidth="1"/>
    <col min="5" max="5" width="13" customWidth="1"/>
    <col min="6" max="6" width="22" bestFit="1" customWidth="1"/>
    <col min="8" max="8" width="11.375" bestFit="1" customWidth="1"/>
    <col min="11" max="11" width="15.5" bestFit="1" customWidth="1"/>
  </cols>
  <sheetData>
    <row r="1" spans="1:13">
      <c r="A1" s="11" t="s">
        <v>95</v>
      </c>
    </row>
    <row r="2" spans="1:13">
      <c r="B2" s="11"/>
      <c r="D2" t="s">
        <v>402</v>
      </c>
      <c r="F2" t="s">
        <v>92</v>
      </c>
      <c r="H2" t="s">
        <v>177</v>
      </c>
    </row>
    <row r="3" spans="1:13" ht="18.75">
      <c r="A3" s="4" t="s">
        <v>377</v>
      </c>
      <c r="B3" s="4" t="s">
        <v>81</v>
      </c>
      <c r="C3" s="4" t="s">
        <v>10</v>
      </c>
      <c r="D3" s="4" t="s">
        <v>91</v>
      </c>
      <c r="E3" s="4" t="s">
        <v>79</v>
      </c>
      <c r="F3" s="4" t="s">
        <v>93</v>
      </c>
      <c r="G3" s="4" t="s">
        <v>79</v>
      </c>
      <c r="H3" s="4" t="s">
        <v>102</v>
      </c>
      <c r="I3" s="4" t="s">
        <v>103</v>
      </c>
      <c r="J3" s="4"/>
      <c r="K3" s="4" t="s">
        <v>132</v>
      </c>
      <c r="L3">
        <v>1</v>
      </c>
      <c r="M3" s="12" t="s">
        <v>80</v>
      </c>
    </row>
    <row r="4" spans="1:13" ht="18.75">
      <c r="A4" t="str">
        <f>CONCATENATE(B4,"_Chains")</f>
        <v>Chaet_flex_Chains</v>
      </c>
      <c r="B4" s="1" t="s">
        <v>60</v>
      </c>
      <c r="C4" s="9" t="s">
        <v>58</v>
      </c>
      <c r="D4">
        <v>2</v>
      </c>
      <c r="E4">
        <v>3</v>
      </c>
      <c r="F4" t="s">
        <v>24</v>
      </c>
      <c r="G4">
        <v>3</v>
      </c>
      <c r="H4">
        <v>1</v>
      </c>
      <c r="I4">
        <v>3</v>
      </c>
      <c r="L4">
        <v>2</v>
      </c>
      <c r="M4" s="12" t="s">
        <v>83</v>
      </c>
    </row>
    <row r="5" spans="1:13">
      <c r="A5" t="str">
        <f t="shared" ref="A5:A68" si="0">CONCATENATE(B5,"_Chains")</f>
        <v>Chaet_grac_Chains</v>
      </c>
      <c r="B5" s="1" t="s">
        <v>61</v>
      </c>
      <c r="C5" s="9" t="s">
        <v>52</v>
      </c>
      <c r="D5">
        <v>1</v>
      </c>
      <c r="E5">
        <v>3</v>
      </c>
      <c r="F5" t="s">
        <v>31</v>
      </c>
      <c r="G5">
        <v>3</v>
      </c>
      <c r="H5">
        <v>0</v>
      </c>
      <c r="I5">
        <v>3</v>
      </c>
      <c r="K5" t="s">
        <v>131</v>
      </c>
      <c r="L5">
        <v>3</v>
      </c>
      <c r="M5" t="s">
        <v>90</v>
      </c>
    </row>
    <row r="6" spans="1:13" ht="18">
      <c r="A6" t="str">
        <f t="shared" si="0"/>
        <v>Prob_inerm_Chains</v>
      </c>
      <c r="B6" s="1" t="s">
        <v>62</v>
      </c>
      <c r="C6" s="9" t="s">
        <v>57</v>
      </c>
      <c r="D6">
        <v>2</v>
      </c>
      <c r="E6">
        <v>3</v>
      </c>
      <c r="F6" t="s">
        <v>24</v>
      </c>
      <c r="G6">
        <v>3</v>
      </c>
      <c r="H6">
        <v>1</v>
      </c>
      <c r="I6">
        <v>3</v>
      </c>
      <c r="L6">
        <v>4</v>
      </c>
      <c r="M6" s="16" t="s">
        <v>122</v>
      </c>
    </row>
    <row r="7" spans="1:13">
      <c r="A7" t="str">
        <f t="shared" si="0"/>
        <v>Frag_island_Chains</v>
      </c>
      <c r="B7" s="1" t="s">
        <v>63</v>
      </c>
      <c r="C7" s="9" t="s">
        <v>59</v>
      </c>
      <c r="D7">
        <v>2</v>
      </c>
      <c r="E7">
        <v>3</v>
      </c>
      <c r="F7" t="s">
        <v>28</v>
      </c>
      <c r="G7">
        <v>3</v>
      </c>
      <c r="H7">
        <v>1</v>
      </c>
      <c r="I7">
        <v>3</v>
      </c>
      <c r="L7">
        <v>5</v>
      </c>
    </row>
    <row r="8" spans="1:13" ht="18.75">
      <c r="A8" t="str">
        <f t="shared" si="0"/>
        <v>Phae_antarc_Chains</v>
      </c>
      <c r="B8" s="1" t="s">
        <v>64</v>
      </c>
      <c r="C8" s="9" t="s">
        <v>54</v>
      </c>
      <c r="D8">
        <v>2</v>
      </c>
      <c r="F8" t="s">
        <v>26</v>
      </c>
      <c r="H8">
        <v>1</v>
      </c>
      <c r="L8">
        <v>6</v>
      </c>
      <c r="M8" s="12" t="s">
        <v>284</v>
      </c>
    </row>
    <row r="9" spans="1:13">
      <c r="A9" t="str">
        <f t="shared" si="0"/>
        <v>Frag_sp5_Chains</v>
      </c>
      <c r="B9" s="1" t="s">
        <v>65</v>
      </c>
      <c r="C9" s="9" t="s">
        <v>55</v>
      </c>
      <c r="D9" t="s">
        <v>380</v>
      </c>
      <c r="F9" t="s">
        <v>380</v>
      </c>
      <c r="H9" t="s">
        <v>380</v>
      </c>
    </row>
    <row r="10" spans="1:13">
      <c r="A10" t="str">
        <f t="shared" si="0"/>
        <v>Lennox_fav_Chains</v>
      </c>
      <c r="B10" s="1" t="s">
        <v>66</v>
      </c>
      <c r="C10" s="9" t="s">
        <v>56</v>
      </c>
      <c r="D10" t="s">
        <v>380</v>
      </c>
      <c r="F10" t="s">
        <v>380</v>
      </c>
      <c r="H10" t="s">
        <v>380</v>
      </c>
    </row>
    <row r="11" spans="1:13">
      <c r="A11" t="str">
        <f t="shared" si="0"/>
        <v>Actino_curv_Chains</v>
      </c>
      <c r="B11" s="1" t="s">
        <v>42</v>
      </c>
      <c r="C11" s="2" t="s">
        <v>14</v>
      </c>
      <c r="D11">
        <v>1</v>
      </c>
      <c r="E11">
        <v>3</v>
      </c>
      <c r="F11" t="s">
        <v>31</v>
      </c>
      <c r="G11">
        <v>3</v>
      </c>
      <c r="H11">
        <v>0</v>
      </c>
      <c r="I11">
        <v>3</v>
      </c>
    </row>
    <row r="12" spans="1:13">
      <c r="A12" t="str">
        <f t="shared" si="0"/>
        <v>Astero_hept_Chains</v>
      </c>
      <c r="B12" s="1" t="s">
        <v>43</v>
      </c>
      <c r="C12" s="2" t="s">
        <v>15</v>
      </c>
      <c r="D12">
        <v>1</v>
      </c>
      <c r="E12">
        <v>3</v>
      </c>
      <c r="F12" t="s">
        <v>31</v>
      </c>
      <c r="G12">
        <v>3</v>
      </c>
      <c r="H12">
        <v>0</v>
      </c>
      <c r="I12">
        <v>3</v>
      </c>
    </row>
    <row r="13" spans="1:13">
      <c r="A13" t="str">
        <f t="shared" si="0"/>
        <v>Astero_robust_Chains</v>
      </c>
      <c r="B13" s="1" t="s">
        <v>44</v>
      </c>
      <c r="C13" s="2" t="s">
        <v>16</v>
      </c>
      <c r="D13">
        <v>1</v>
      </c>
      <c r="E13">
        <v>3</v>
      </c>
      <c r="F13" t="s">
        <v>31</v>
      </c>
      <c r="G13">
        <v>3</v>
      </c>
      <c r="H13">
        <v>0</v>
      </c>
      <c r="I13">
        <v>3</v>
      </c>
    </row>
    <row r="14" spans="1:13">
      <c r="A14" t="str">
        <f t="shared" si="0"/>
        <v>Coscino_marg_Chains</v>
      </c>
      <c r="B14" s="1" t="s">
        <v>45</v>
      </c>
      <c r="C14" s="2" t="s">
        <v>17</v>
      </c>
      <c r="D14">
        <v>1</v>
      </c>
      <c r="E14">
        <v>3</v>
      </c>
      <c r="F14" t="s">
        <v>31</v>
      </c>
      <c r="G14">
        <v>3</v>
      </c>
      <c r="H14">
        <v>0</v>
      </c>
      <c r="I14">
        <v>3</v>
      </c>
    </row>
    <row r="15" spans="1:13">
      <c r="A15" t="str">
        <f t="shared" si="0"/>
        <v>Coscino_oculus_Chains</v>
      </c>
      <c r="B15" s="1" t="s">
        <v>46</v>
      </c>
      <c r="C15" s="2" t="s">
        <v>18</v>
      </c>
      <c r="D15">
        <v>1</v>
      </c>
      <c r="E15">
        <v>3</v>
      </c>
      <c r="F15" t="s">
        <v>31</v>
      </c>
      <c r="G15">
        <v>3</v>
      </c>
      <c r="H15">
        <v>0</v>
      </c>
      <c r="I15">
        <v>3</v>
      </c>
    </row>
    <row r="16" spans="1:13">
      <c r="A16" t="str">
        <f t="shared" si="0"/>
        <v>Coscino_spp20_Chains</v>
      </c>
      <c r="B16" s="1" t="s">
        <v>47</v>
      </c>
      <c r="C16" s="2" t="s">
        <v>19</v>
      </c>
      <c r="D16">
        <v>1</v>
      </c>
      <c r="E16">
        <v>3</v>
      </c>
      <c r="F16" t="s">
        <v>31</v>
      </c>
      <c r="G16">
        <v>3</v>
      </c>
      <c r="H16">
        <v>0</v>
      </c>
      <c r="I16">
        <v>3</v>
      </c>
    </row>
    <row r="17" spans="1:11">
      <c r="A17" t="str">
        <f t="shared" si="0"/>
        <v>Podo_elegans_Chains</v>
      </c>
      <c r="B17" s="1" t="s">
        <v>48</v>
      </c>
      <c r="C17" s="2" t="s">
        <v>20</v>
      </c>
      <c r="D17">
        <v>1</v>
      </c>
      <c r="E17">
        <v>3</v>
      </c>
      <c r="F17" t="s">
        <v>31</v>
      </c>
      <c r="G17">
        <v>3</v>
      </c>
      <c r="H17">
        <v>0</v>
      </c>
      <c r="I17">
        <v>3</v>
      </c>
    </row>
    <row r="18" spans="1:11">
      <c r="A18" t="str">
        <f t="shared" si="0"/>
        <v>Thalas_trif_Chains</v>
      </c>
      <c r="B18" s="1" t="s">
        <v>49</v>
      </c>
      <c r="C18" s="2" t="s">
        <v>21</v>
      </c>
      <c r="D18">
        <v>1</v>
      </c>
      <c r="E18">
        <v>3</v>
      </c>
      <c r="F18" t="s">
        <v>31</v>
      </c>
      <c r="G18">
        <v>3</v>
      </c>
      <c r="H18">
        <v>0</v>
      </c>
      <c r="I18">
        <v>3</v>
      </c>
    </row>
    <row r="19" spans="1:11">
      <c r="A19" t="str">
        <f t="shared" si="0"/>
        <v>Nitz_spp_Chains</v>
      </c>
      <c r="B19" s="1" t="s">
        <v>50</v>
      </c>
      <c r="C19" s="2" t="s">
        <v>22</v>
      </c>
      <c r="D19" t="s">
        <v>380</v>
      </c>
      <c r="F19" t="s">
        <v>380</v>
      </c>
      <c r="H19" t="s">
        <v>380</v>
      </c>
    </row>
    <row r="20" spans="1:11">
      <c r="A20" t="str">
        <f t="shared" si="0"/>
        <v>Thala_antarc_Chains</v>
      </c>
      <c r="B20" s="1" t="s">
        <v>38</v>
      </c>
      <c r="C20" s="2" t="s">
        <v>7</v>
      </c>
      <c r="D20">
        <v>2</v>
      </c>
      <c r="E20">
        <v>3</v>
      </c>
      <c r="F20" t="s">
        <v>24</v>
      </c>
      <c r="G20">
        <v>3</v>
      </c>
      <c r="H20">
        <v>0</v>
      </c>
      <c r="I20">
        <v>3</v>
      </c>
    </row>
    <row r="21" spans="1:11">
      <c r="A21" t="str">
        <f t="shared" si="0"/>
        <v>Thala_grav_Chains</v>
      </c>
      <c r="B21" s="1" t="s">
        <v>39</v>
      </c>
      <c r="C21" s="2" t="s">
        <v>8</v>
      </c>
      <c r="D21">
        <v>2</v>
      </c>
      <c r="E21">
        <v>3</v>
      </c>
      <c r="F21" t="s">
        <v>24</v>
      </c>
      <c r="G21">
        <v>3</v>
      </c>
      <c r="H21">
        <v>0</v>
      </c>
      <c r="I21">
        <v>3</v>
      </c>
    </row>
    <row r="22" spans="1:11">
      <c r="A22" t="str">
        <f t="shared" si="0"/>
        <v>Bact_bath_Chains</v>
      </c>
      <c r="B22" s="1" t="s">
        <v>32</v>
      </c>
      <c r="C22" s="2" t="s">
        <v>3</v>
      </c>
      <c r="D22" t="s">
        <v>380</v>
      </c>
      <c r="F22" t="s">
        <v>380</v>
      </c>
      <c r="H22" t="s">
        <v>380</v>
      </c>
    </row>
    <row r="23" spans="1:11">
      <c r="A23" t="str">
        <f t="shared" si="0"/>
        <v>Neo_sem_Chains</v>
      </c>
      <c r="B23" s="1" t="s">
        <v>36</v>
      </c>
      <c r="C23" s="2" t="s">
        <v>6</v>
      </c>
      <c r="D23">
        <v>2</v>
      </c>
      <c r="F23" t="s">
        <v>28</v>
      </c>
      <c r="H23">
        <v>1</v>
      </c>
    </row>
    <row r="24" spans="1:11">
      <c r="A24" t="str">
        <f t="shared" si="0"/>
        <v>Rhizo_heb_semi_Chains</v>
      </c>
      <c r="B24" s="1" t="s">
        <v>37</v>
      </c>
      <c r="C24" s="2" t="s">
        <v>111</v>
      </c>
      <c r="D24">
        <v>2</v>
      </c>
      <c r="E24">
        <v>3</v>
      </c>
      <c r="F24" t="s">
        <v>24</v>
      </c>
      <c r="G24">
        <v>3</v>
      </c>
      <c r="H24">
        <v>1</v>
      </c>
      <c r="I24">
        <v>3</v>
      </c>
      <c r="K24" t="s">
        <v>130</v>
      </c>
    </row>
    <row r="25" spans="1:11">
      <c r="A25" t="str">
        <f t="shared" si="0"/>
        <v>Rhizo_heb_hiem_Chains</v>
      </c>
      <c r="B25" s="1" t="s">
        <v>393</v>
      </c>
      <c r="C25" s="2" t="s">
        <v>112</v>
      </c>
      <c r="D25" t="s">
        <v>380</v>
      </c>
      <c r="F25" t="s">
        <v>380</v>
      </c>
      <c r="H25" t="s">
        <v>380</v>
      </c>
    </row>
    <row r="26" spans="1:11">
      <c r="A26" t="str">
        <f t="shared" si="0"/>
        <v>Thalx_long_Chains</v>
      </c>
      <c r="B26" s="1" t="s">
        <v>40</v>
      </c>
      <c r="C26" s="2" t="s">
        <v>9</v>
      </c>
      <c r="D26">
        <v>2</v>
      </c>
      <c r="E26">
        <v>3</v>
      </c>
      <c r="F26" t="s">
        <v>139</v>
      </c>
      <c r="G26">
        <v>3</v>
      </c>
      <c r="H26">
        <v>1</v>
      </c>
      <c r="I26">
        <v>3</v>
      </c>
    </row>
    <row r="27" spans="1:11">
      <c r="A27" t="str">
        <f t="shared" si="0"/>
        <v>Thalx_antarc_Chains</v>
      </c>
      <c r="B27" s="8" t="s">
        <v>136</v>
      </c>
      <c r="C27" s="6" t="s">
        <v>135</v>
      </c>
      <c r="D27">
        <v>2</v>
      </c>
      <c r="E27">
        <v>3</v>
      </c>
      <c r="F27" t="s">
        <v>139</v>
      </c>
      <c r="G27">
        <v>3</v>
      </c>
      <c r="H27">
        <v>1</v>
      </c>
      <c r="I27">
        <v>3</v>
      </c>
    </row>
    <row r="28" spans="1:11">
      <c r="A28" t="str">
        <f t="shared" si="0"/>
        <v>Frag_kerg_Chains</v>
      </c>
      <c r="B28" s="8" t="s">
        <v>142</v>
      </c>
      <c r="C28" s="6" t="s">
        <v>70</v>
      </c>
      <c r="D28">
        <v>2</v>
      </c>
      <c r="E28">
        <v>3</v>
      </c>
      <c r="F28" t="s">
        <v>28</v>
      </c>
      <c r="G28">
        <v>3</v>
      </c>
      <c r="H28">
        <v>1</v>
      </c>
      <c r="I28">
        <v>3</v>
      </c>
    </row>
    <row r="29" spans="1:11">
      <c r="A29" t="str">
        <f t="shared" si="0"/>
        <v>Pseudo_line_Chains</v>
      </c>
      <c r="B29" s="8" t="s">
        <v>146</v>
      </c>
      <c r="C29" s="6" t="s">
        <v>147</v>
      </c>
      <c r="D29">
        <v>2</v>
      </c>
      <c r="E29">
        <v>3</v>
      </c>
      <c r="F29" t="s">
        <v>27</v>
      </c>
      <c r="G29">
        <v>3</v>
      </c>
      <c r="H29">
        <v>1</v>
      </c>
      <c r="I29">
        <v>3</v>
      </c>
    </row>
    <row r="30" spans="1:11">
      <c r="A30" t="str">
        <f t="shared" si="0"/>
        <v>Thala_grac_Chains</v>
      </c>
      <c r="B30" s="8" t="s">
        <v>153</v>
      </c>
      <c r="C30" s="6" t="s">
        <v>150</v>
      </c>
      <c r="D30">
        <v>2</v>
      </c>
      <c r="E30">
        <v>3</v>
      </c>
      <c r="F30" t="s">
        <v>24</v>
      </c>
      <c r="G30">
        <v>2</v>
      </c>
      <c r="H30">
        <v>0</v>
      </c>
      <c r="I30">
        <v>2</v>
      </c>
    </row>
    <row r="31" spans="1:11">
      <c r="A31" t="str">
        <f t="shared" si="0"/>
        <v>Frag_pseud_Chains</v>
      </c>
      <c r="B31" s="8" t="s">
        <v>157</v>
      </c>
      <c r="C31" s="6" t="s">
        <v>156</v>
      </c>
      <c r="D31">
        <v>2</v>
      </c>
      <c r="E31">
        <v>3</v>
      </c>
      <c r="F31" t="s">
        <v>28</v>
      </c>
      <c r="G31">
        <v>3</v>
      </c>
      <c r="H31">
        <v>0.5</v>
      </c>
      <c r="I31">
        <v>16</v>
      </c>
    </row>
    <row r="32" spans="1:11">
      <c r="A32" t="str">
        <f t="shared" si="0"/>
        <v>Nav_direc_Chains</v>
      </c>
      <c r="B32" s="8" t="s">
        <v>161</v>
      </c>
      <c r="C32" s="6" t="s">
        <v>162</v>
      </c>
      <c r="D32">
        <v>1</v>
      </c>
      <c r="E32">
        <v>3</v>
      </c>
      <c r="F32" t="s">
        <v>31</v>
      </c>
      <c r="G32">
        <v>3</v>
      </c>
      <c r="H32">
        <v>0</v>
      </c>
      <c r="I32">
        <v>3</v>
      </c>
      <c r="K32" t="s">
        <v>164</v>
      </c>
    </row>
    <row r="33" spans="1:11">
      <c r="A33" t="str">
        <f t="shared" si="0"/>
        <v>Thala_lent_Chains</v>
      </c>
      <c r="B33" s="8" t="s">
        <v>165</v>
      </c>
      <c r="C33" s="6" t="s">
        <v>166</v>
      </c>
      <c r="D33">
        <v>1</v>
      </c>
      <c r="E33">
        <v>3</v>
      </c>
      <c r="F33" t="s">
        <v>31</v>
      </c>
      <c r="G33">
        <v>3</v>
      </c>
      <c r="H33">
        <v>0</v>
      </c>
      <c r="I33">
        <v>3</v>
      </c>
      <c r="K33" s="14" t="s">
        <v>168</v>
      </c>
    </row>
    <row r="34" spans="1:11">
      <c r="A34" t="str">
        <f t="shared" si="0"/>
        <v>Pseudo_heim_Chains</v>
      </c>
      <c r="B34" s="8" t="s">
        <v>169</v>
      </c>
      <c r="C34" s="6" t="s">
        <v>170</v>
      </c>
      <c r="D34">
        <v>2</v>
      </c>
      <c r="E34">
        <v>3</v>
      </c>
      <c r="F34" t="s">
        <v>27</v>
      </c>
      <c r="G34">
        <v>3</v>
      </c>
      <c r="H34">
        <v>1</v>
      </c>
      <c r="I34">
        <v>3</v>
      </c>
    </row>
    <row r="35" spans="1:11">
      <c r="A35" t="str">
        <f t="shared" si="0"/>
        <v>Frag_rhomb_Chains</v>
      </c>
      <c r="B35" s="1" t="s">
        <v>172</v>
      </c>
      <c r="C35" s="2" t="s">
        <v>71</v>
      </c>
      <c r="D35">
        <v>2</v>
      </c>
      <c r="E35">
        <v>5</v>
      </c>
      <c r="F35" t="s">
        <v>28</v>
      </c>
      <c r="G35">
        <v>5</v>
      </c>
      <c r="H35">
        <v>1</v>
      </c>
      <c r="I35">
        <v>16</v>
      </c>
    </row>
    <row r="36" spans="1:11">
      <c r="A36" t="str">
        <f t="shared" si="0"/>
        <v>Azp_tab_Chains</v>
      </c>
      <c r="B36" s="8" t="s">
        <v>179</v>
      </c>
      <c r="C36" s="6" t="s">
        <v>178</v>
      </c>
      <c r="D36">
        <v>1</v>
      </c>
      <c r="E36">
        <v>3</v>
      </c>
      <c r="F36" t="s">
        <v>31</v>
      </c>
      <c r="G36">
        <v>3</v>
      </c>
      <c r="H36">
        <v>0</v>
      </c>
      <c r="I36">
        <v>3</v>
      </c>
    </row>
    <row r="37" spans="1:11">
      <c r="A37" t="str">
        <f t="shared" si="0"/>
        <v>Thal_olive_Chains</v>
      </c>
      <c r="B37" s="8" t="s">
        <v>182</v>
      </c>
      <c r="C37" s="6" t="s">
        <v>183</v>
      </c>
      <c r="D37">
        <v>1</v>
      </c>
      <c r="E37">
        <v>3</v>
      </c>
      <c r="F37" t="s">
        <v>31</v>
      </c>
      <c r="G37">
        <v>3</v>
      </c>
      <c r="H37">
        <v>0</v>
      </c>
      <c r="I37">
        <v>3</v>
      </c>
      <c r="K37" t="s">
        <v>186</v>
      </c>
    </row>
    <row r="38" spans="1:11">
      <c r="A38" t="str">
        <f t="shared" si="0"/>
        <v>Chaet_atlant_Chains</v>
      </c>
      <c r="B38" s="1" t="s">
        <v>33</v>
      </c>
      <c r="C38" s="2" t="s">
        <v>4</v>
      </c>
      <c r="D38" s="7">
        <v>2</v>
      </c>
      <c r="E38" s="7">
        <v>3</v>
      </c>
      <c r="F38" s="7" t="s">
        <v>24</v>
      </c>
      <c r="G38" s="7">
        <v>3</v>
      </c>
      <c r="H38" s="7">
        <v>1</v>
      </c>
      <c r="I38" s="7">
        <v>3</v>
      </c>
      <c r="K38" t="s">
        <v>131</v>
      </c>
    </row>
    <row r="39" spans="1:11">
      <c r="A39" t="str">
        <f t="shared" si="0"/>
        <v>Thal_nitz_Chains</v>
      </c>
      <c r="B39" s="8" t="s">
        <v>192</v>
      </c>
      <c r="C39" s="6" t="s">
        <v>74</v>
      </c>
      <c r="D39">
        <v>2</v>
      </c>
      <c r="E39">
        <v>3</v>
      </c>
      <c r="F39" t="s">
        <v>25</v>
      </c>
      <c r="G39">
        <v>3</v>
      </c>
      <c r="H39">
        <v>1</v>
      </c>
      <c r="I39">
        <v>3</v>
      </c>
    </row>
    <row r="40" spans="1:11">
      <c r="A40" t="str">
        <f t="shared" si="0"/>
        <v>Nitz_bicap_Chains</v>
      </c>
      <c r="B40" s="8" t="s">
        <v>195</v>
      </c>
      <c r="C40" s="6" t="s">
        <v>72</v>
      </c>
      <c r="D40">
        <v>1</v>
      </c>
      <c r="E40">
        <v>3</v>
      </c>
      <c r="F40" t="s">
        <v>31</v>
      </c>
      <c r="G40">
        <v>3</v>
      </c>
      <c r="H40">
        <v>0</v>
      </c>
      <c r="I40">
        <v>3</v>
      </c>
    </row>
    <row r="41" spans="1:11">
      <c r="A41" t="str">
        <f t="shared" si="0"/>
        <v>Hem_cune_Chains</v>
      </c>
      <c r="B41" s="8" t="s">
        <v>197</v>
      </c>
      <c r="C41" s="6" t="s">
        <v>196</v>
      </c>
      <c r="D41">
        <v>1</v>
      </c>
      <c r="E41">
        <v>3</v>
      </c>
      <c r="F41" t="s">
        <v>31</v>
      </c>
      <c r="G41">
        <v>3</v>
      </c>
      <c r="H41">
        <v>0</v>
      </c>
      <c r="I41">
        <v>3</v>
      </c>
      <c r="K41" s="14" t="s">
        <v>199</v>
      </c>
    </row>
    <row r="42" spans="1:11">
      <c r="A42" t="str">
        <f t="shared" si="0"/>
        <v>Rope_tess_Chains</v>
      </c>
      <c r="B42" s="8" t="s">
        <v>200</v>
      </c>
      <c r="C42" s="6" t="s">
        <v>73</v>
      </c>
      <c r="D42">
        <v>1</v>
      </c>
      <c r="E42">
        <v>3</v>
      </c>
      <c r="F42" t="s">
        <v>31</v>
      </c>
      <c r="G42">
        <v>3</v>
      </c>
      <c r="H42">
        <v>0</v>
      </c>
      <c r="I42">
        <v>3</v>
      </c>
      <c r="K42" s="14" t="s">
        <v>202</v>
      </c>
    </row>
    <row r="43" spans="1:11">
      <c r="A43" t="str">
        <f t="shared" si="0"/>
        <v>Thala_line_Chains</v>
      </c>
      <c r="B43" s="8" t="s">
        <v>203</v>
      </c>
      <c r="C43" s="6" t="s">
        <v>204</v>
      </c>
      <c r="D43">
        <v>1</v>
      </c>
      <c r="E43">
        <v>3</v>
      </c>
      <c r="F43" t="s">
        <v>31</v>
      </c>
      <c r="G43">
        <v>3</v>
      </c>
      <c r="H43">
        <v>0</v>
      </c>
      <c r="I43">
        <v>3</v>
      </c>
      <c r="K43" s="14" t="s">
        <v>205</v>
      </c>
    </row>
    <row r="44" spans="1:11">
      <c r="A44" t="str">
        <f t="shared" si="0"/>
        <v>Thala_ecc_Chains</v>
      </c>
      <c r="B44" s="1" t="s">
        <v>208</v>
      </c>
      <c r="C44" s="2" t="s">
        <v>206</v>
      </c>
      <c r="D44" s="7">
        <v>2</v>
      </c>
      <c r="E44" s="7">
        <v>2</v>
      </c>
      <c r="F44" s="7" t="s">
        <v>24</v>
      </c>
      <c r="G44" s="7">
        <v>2</v>
      </c>
      <c r="H44" s="7">
        <v>1</v>
      </c>
      <c r="I44" s="7">
        <v>2</v>
      </c>
    </row>
    <row r="45" spans="1:11">
      <c r="A45" t="str">
        <f t="shared" si="0"/>
        <v>Thala_oest_Chains</v>
      </c>
      <c r="B45" s="1" t="s">
        <v>355</v>
      </c>
      <c r="C45" s="2" t="s">
        <v>354</v>
      </c>
      <c r="D45" s="7">
        <v>2</v>
      </c>
      <c r="E45" s="7">
        <v>2</v>
      </c>
      <c r="F45" s="7" t="s">
        <v>24</v>
      </c>
      <c r="G45" s="7">
        <v>2</v>
      </c>
      <c r="H45" s="7">
        <v>1</v>
      </c>
      <c r="I45" s="7">
        <v>2</v>
      </c>
    </row>
    <row r="46" spans="1:11">
      <c r="A46" t="str">
        <f t="shared" si="0"/>
        <v>Trich_rein_Chains</v>
      </c>
      <c r="B46" s="8" t="s">
        <v>213</v>
      </c>
      <c r="C46" s="6" t="s">
        <v>212</v>
      </c>
      <c r="D46">
        <v>2</v>
      </c>
      <c r="E46">
        <v>3</v>
      </c>
      <c r="F46" t="s">
        <v>26</v>
      </c>
      <c r="G46">
        <v>3</v>
      </c>
      <c r="H46">
        <v>1</v>
      </c>
      <c r="I46">
        <v>3</v>
      </c>
    </row>
    <row r="47" spans="1:11">
      <c r="A47" t="str">
        <f t="shared" si="0"/>
        <v>Rhizo_ant_semi_Chains</v>
      </c>
      <c r="B47" s="8" t="s">
        <v>218</v>
      </c>
      <c r="C47" s="6" t="s">
        <v>220</v>
      </c>
      <c r="D47">
        <v>2</v>
      </c>
      <c r="E47">
        <v>3</v>
      </c>
      <c r="F47" t="s">
        <v>24</v>
      </c>
      <c r="G47">
        <v>3</v>
      </c>
      <c r="H47">
        <v>0</v>
      </c>
      <c r="I47">
        <v>3</v>
      </c>
    </row>
    <row r="48" spans="1:11">
      <c r="A48" t="str">
        <f t="shared" si="0"/>
        <v>Rhizo_poly_Chains</v>
      </c>
      <c r="B48" s="8" t="s">
        <v>225</v>
      </c>
      <c r="C48" s="6" t="s">
        <v>221</v>
      </c>
      <c r="D48">
        <v>1</v>
      </c>
      <c r="E48">
        <v>3</v>
      </c>
      <c r="F48" t="s">
        <v>31</v>
      </c>
      <c r="G48">
        <v>3</v>
      </c>
      <c r="H48">
        <v>0</v>
      </c>
      <c r="I48">
        <v>3</v>
      </c>
    </row>
    <row r="49" spans="1:12">
      <c r="A49" t="str">
        <f t="shared" si="0"/>
        <v>Rhizo_curv_Chains</v>
      </c>
      <c r="B49" s="8" t="s">
        <v>226</v>
      </c>
      <c r="C49" s="6" t="s">
        <v>222</v>
      </c>
      <c r="D49">
        <v>2</v>
      </c>
      <c r="E49">
        <v>3</v>
      </c>
      <c r="F49" t="s">
        <v>24</v>
      </c>
      <c r="G49">
        <v>3</v>
      </c>
      <c r="H49">
        <v>0.5</v>
      </c>
      <c r="I49">
        <v>3</v>
      </c>
    </row>
    <row r="50" spans="1:12">
      <c r="A50" t="str">
        <f t="shared" si="0"/>
        <v>Rhizo_crass_Chains</v>
      </c>
      <c r="B50" s="8" t="s">
        <v>227</v>
      </c>
      <c r="C50" s="6" t="s">
        <v>223</v>
      </c>
      <c r="D50">
        <v>2</v>
      </c>
      <c r="E50">
        <v>3</v>
      </c>
      <c r="F50" t="s">
        <v>24</v>
      </c>
      <c r="G50">
        <v>3</v>
      </c>
      <c r="H50">
        <v>0.5</v>
      </c>
      <c r="I50">
        <v>3</v>
      </c>
    </row>
    <row r="51" spans="1:12">
      <c r="A51" t="str">
        <f t="shared" si="0"/>
        <v>Rhizo_sima_Chains</v>
      </c>
      <c r="B51" s="8" t="s">
        <v>228</v>
      </c>
      <c r="C51" s="6" t="s">
        <v>224</v>
      </c>
      <c r="D51">
        <v>2</v>
      </c>
      <c r="E51">
        <v>3</v>
      </c>
      <c r="F51" t="s">
        <v>24</v>
      </c>
      <c r="G51">
        <v>3</v>
      </c>
      <c r="H51">
        <v>0.5</v>
      </c>
      <c r="I51">
        <v>3</v>
      </c>
    </row>
    <row r="52" spans="1:12">
      <c r="A52" t="str">
        <f t="shared" si="0"/>
        <v>Frag_curta_Chains</v>
      </c>
      <c r="B52" s="8" t="s">
        <v>263</v>
      </c>
      <c r="C52" s="6" t="s">
        <v>259</v>
      </c>
      <c r="D52">
        <v>2</v>
      </c>
      <c r="E52">
        <v>3</v>
      </c>
      <c r="F52" t="s">
        <v>28</v>
      </c>
      <c r="G52">
        <v>3</v>
      </c>
      <c r="H52">
        <v>1</v>
      </c>
      <c r="I52">
        <v>3</v>
      </c>
    </row>
    <row r="53" spans="1:12">
      <c r="A53" t="str">
        <f t="shared" si="0"/>
        <v>Frag_cylin_Chains</v>
      </c>
      <c r="B53" s="8" t="s">
        <v>35</v>
      </c>
      <c r="C53" s="6" t="s">
        <v>53</v>
      </c>
      <c r="D53">
        <v>2</v>
      </c>
      <c r="E53">
        <v>3</v>
      </c>
      <c r="F53" t="s">
        <v>28</v>
      </c>
      <c r="G53">
        <v>3</v>
      </c>
      <c r="H53">
        <v>1</v>
      </c>
      <c r="I53">
        <v>3</v>
      </c>
    </row>
    <row r="54" spans="1:12">
      <c r="A54" t="str">
        <f t="shared" si="0"/>
        <v>Frag_rits_Chains</v>
      </c>
      <c r="B54" s="8" t="s">
        <v>264</v>
      </c>
      <c r="C54" s="6" t="s">
        <v>260</v>
      </c>
      <c r="D54">
        <v>1</v>
      </c>
      <c r="E54">
        <v>2</v>
      </c>
      <c r="F54" t="s">
        <v>31</v>
      </c>
      <c r="G54">
        <v>2</v>
      </c>
      <c r="H54">
        <v>0</v>
      </c>
      <c r="I54">
        <v>2</v>
      </c>
    </row>
    <row r="55" spans="1:12">
      <c r="A55" t="str">
        <f t="shared" si="0"/>
        <v>Frag_sep_Chains</v>
      </c>
      <c r="B55" s="8" t="s">
        <v>265</v>
      </c>
      <c r="C55" s="6" t="s">
        <v>261</v>
      </c>
      <c r="D55">
        <v>1</v>
      </c>
      <c r="E55">
        <v>2</v>
      </c>
      <c r="F55" t="s">
        <v>31</v>
      </c>
      <c r="G55">
        <v>2</v>
      </c>
      <c r="H55">
        <v>0</v>
      </c>
      <c r="I55">
        <v>2</v>
      </c>
    </row>
    <row r="56" spans="1:12">
      <c r="A56" t="str">
        <f t="shared" si="0"/>
        <v>Core_crio_Chains</v>
      </c>
      <c r="B56" s="1" t="s">
        <v>34</v>
      </c>
      <c r="C56" s="2" t="s">
        <v>5</v>
      </c>
      <c r="D56" t="s">
        <v>380</v>
      </c>
      <c r="F56" t="s">
        <v>380</v>
      </c>
      <c r="H56" t="s">
        <v>380</v>
      </c>
    </row>
    <row r="57" spans="1:12">
      <c r="A57" t="str">
        <f t="shared" si="0"/>
        <v>Core_penn_Chains</v>
      </c>
      <c r="B57" s="1" t="s">
        <v>275</v>
      </c>
      <c r="C57" s="2" t="s">
        <v>276</v>
      </c>
      <c r="D57">
        <v>1</v>
      </c>
      <c r="E57">
        <v>6</v>
      </c>
      <c r="F57" t="s">
        <v>31</v>
      </c>
      <c r="G57">
        <v>6</v>
      </c>
      <c r="H57">
        <v>0</v>
      </c>
      <c r="I57">
        <v>15</v>
      </c>
      <c r="K57" t="s">
        <v>285</v>
      </c>
    </row>
    <row r="58" spans="1:12">
      <c r="A58" t="str">
        <f t="shared" si="0"/>
        <v>Core_inerme_Chains</v>
      </c>
      <c r="B58" s="1" t="s">
        <v>278</v>
      </c>
      <c r="C58" s="2" t="s">
        <v>279</v>
      </c>
      <c r="D58">
        <v>2</v>
      </c>
      <c r="E58">
        <v>3</v>
      </c>
      <c r="F58" t="s">
        <v>24</v>
      </c>
      <c r="G58">
        <v>3</v>
      </c>
      <c r="H58">
        <v>1</v>
      </c>
      <c r="I58">
        <v>15</v>
      </c>
      <c r="K58" t="s">
        <v>283</v>
      </c>
    </row>
    <row r="59" spans="1:12">
      <c r="A59" t="str">
        <f t="shared" si="0"/>
        <v>Euc_antarc_Chains</v>
      </c>
      <c r="B59" s="1" t="s">
        <v>293</v>
      </c>
      <c r="C59" s="2" t="s">
        <v>69</v>
      </c>
      <c r="D59">
        <v>2</v>
      </c>
      <c r="E59">
        <v>3</v>
      </c>
      <c r="F59" t="s">
        <v>24</v>
      </c>
      <c r="G59">
        <v>3</v>
      </c>
      <c r="H59">
        <v>1</v>
      </c>
      <c r="I59">
        <v>3</v>
      </c>
      <c r="K59" t="s">
        <v>298</v>
      </c>
    </row>
    <row r="60" spans="1:12">
      <c r="A60" t="str">
        <f t="shared" si="0"/>
        <v>Dact_antarc_Chains</v>
      </c>
      <c r="B60" s="1" t="s">
        <v>300</v>
      </c>
      <c r="C60" s="2" t="s">
        <v>68</v>
      </c>
      <c r="D60">
        <v>2</v>
      </c>
      <c r="E60">
        <v>3</v>
      </c>
      <c r="F60" t="s">
        <v>24</v>
      </c>
      <c r="G60">
        <v>3</v>
      </c>
      <c r="H60">
        <v>0.5</v>
      </c>
      <c r="I60">
        <v>3</v>
      </c>
      <c r="K60" t="s">
        <v>303</v>
      </c>
      <c r="L60" s="14" t="s">
        <v>302</v>
      </c>
    </row>
    <row r="61" spans="1:12">
      <c r="A61" t="str">
        <f t="shared" si="0"/>
        <v>Mem_chall_Chains</v>
      </c>
      <c r="B61" s="8" t="s">
        <v>305</v>
      </c>
      <c r="C61" s="6" t="s">
        <v>306</v>
      </c>
      <c r="D61">
        <v>2</v>
      </c>
      <c r="E61">
        <v>3</v>
      </c>
      <c r="F61" t="s">
        <v>28</v>
      </c>
      <c r="G61">
        <v>3</v>
      </c>
      <c r="H61">
        <v>1</v>
      </c>
      <c r="I61">
        <v>3</v>
      </c>
    </row>
    <row r="62" spans="1:12">
      <c r="A62" t="str">
        <f t="shared" si="0"/>
        <v>Odon_weiss_Chains</v>
      </c>
      <c r="B62" s="1" t="s">
        <v>309</v>
      </c>
      <c r="C62" s="6" t="s">
        <v>310</v>
      </c>
      <c r="D62">
        <v>2</v>
      </c>
      <c r="E62">
        <v>3</v>
      </c>
      <c r="F62" t="s">
        <v>24</v>
      </c>
      <c r="G62">
        <v>3</v>
      </c>
      <c r="H62">
        <v>0.5</v>
      </c>
      <c r="I62">
        <v>3</v>
      </c>
      <c r="K62" t="s">
        <v>314</v>
      </c>
      <c r="L62" s="14" t="s">
        <v>315</v>
      </c>
    </row>
    <row r="63" spans="1:12">
      <c r="A63" t="str">
        <f t="shared" si="0"/>
        <v>Stel_micro_Chains</v>
      </c>
      <c r="B63" s="1" t="s">
        <v>394</v>
      </c>
      <c r="C63" s="2" t="s">
        <v>395</v>
      </c>
      <c r="D63">
        <v>2</v>
      </c>
      <c r="E63">
        <v>3</v>
      </c>
      <c r="F63" t="s">
        <v>24</v>
      </c>
      <c r="H63">
        <v>1</v>
      </c>
      <c r="L63" s="14" t="s">
        <v>315</v>
      </c>
    </row>
    <row r="64" spans="1:12">
      <c r="A64" t="str">
        <f t="shared" si="0"/>
        <v>Chaet_dich_Chains</v>
      </c>
      <c r="B64" s="1" t="s">
        <v>409</v>
      </c>
      <c r="C64" s="2" t="s">
        <v>77</v>
      </c>
      <c r="D64">
        <v>2</v>
      </c>
      <c r="E64">
        <v>3</v>
      </c>
      <c r="F64" t="s">
        <v>24</v>
      </c>
      <c r="H64">
        <v>1</v>
      </c>
      <c r="L64" s="14" t="s">
        <v>415</v>
      </c>
    </row>
    <row r="65" spans="1:12">
      <c r="A65" t="str">
        <f t="shared" si="0"/>
        <v>Chaet_peru_Chains</v>
      </c>
      <c r="B65" s="1" t="s">
        <v>410</v>
      </c>
      <c r="C65" s="2" t="s">
        <v>67</v>
      </c>
      <c r="D65">
        <v>2</v>
      </c>
      <c r="E65">
        <v>3</v>
      </c>
      <c r="F65" t="s">
        <v>24</v>
      </c>
      <c r="G65">
        <v>3</v>
      </c>
      <c r="H65">
        <v>0.5</v>
      </c>
      <c r="I65">
        <v>3</v>
      </c>
      <c r="K65" t="s">
        <v>314</v>
      </c>
      <c r="L65" s="14" t="s">
        <v>421</v>
      </c>
    </row>
    <row r="66" spans="1:12">
      <c r="A66" t="str">
        <f t="shared" si="0"/>
        <v>Chaet_deb_Chains</v>
      </c>
      <c r="B66" s="1" t="s">
        <v>411</v>
      </c>
      <c r="C66" s="2" t="s">
        <v>76</v>
      </c>
      <c r="D66">
        <v>2</v>
      </c>
      <c r="E66">
        <v>3</v>
      </c>
      <c r="F66" t="s">
        <v>422</v>
      </c>
      <c r="G66">
        <v>3</v>
      </c>
      <c r="H66">
        <v>1</v>
      </c>
      <c r="I66">
        <v>3</v>
      </c>
    </row>
    <row r="67" spans="1:12">
      <c r="A67" t="str">
        <f t="shared" si="0"/>
        <v>Astero_hya_Chains</v>
      </c>
      <c r="B67" s="1" t="s">
        <v>412</v>
      </c>
      <c r="C67" s="2" t="s">
        <v>406</v>
      </c>
      <c r="D67">
        <v>1</v>
      </c>
      <c r="E67">
        <v>3</v>
      </c>
      <c r="F67" t="s">
        <v>31</v>
      </c>
      <c r="G67">
        <v>3</v>
      </c>
      <c r="H67">
        <v>0</v>
      </c>
      <c r="I67">
        <v>3</v>
      </c>
    </row>
    <row r="68" spans="1:12">
      <c r="A68" t="str">
        <f t="shared" si="0"/>
        <v>Emil_hux_Chains</v>
      </c>
      <c r="B68" s="1" t="s">
        <v>41</v>
      </c>
      <c r="C68" s="2" t="s">
        <v>407</v>
      </c>
      <c r="D68">
        <v>1</v>
      </c>
      <c r="E68">
        <v>3</v>
      </c>
      <c r="F68" t="s">
        <v>31</v>
      </c>
      <c r="G68">
        <v>3</v>
      </c>
      <c r="H68">
        <v>0</v>
      </c>
      <c r="I68">
        <v>2</v>
      </c>
    </row>
    <row r="69" spans="1:12">
      <c r="A69" t="str">
        <f t="shared" ref="A69" si="1">CONCATENATE(B69,"_Chains")</f>
        <v>Has_trom_Chains</v>
      </c>
      <c r="B69" s="1" t="s">
        <v>413</v>
      </c>
      <c r="C69" s="2" t="s">
        <v>408</v>
      </c>
      <c r="D69">
        <v>1</v>
      </c>
      <c r="E69">
        <v>3</v>
      </c>
      <c r="F69" t="s">
        <v>31</v>
      </c>
      <c r="G69">
        <v>3</v>
      </c>
      <c r="H69">
        <v>0</v>
      </c>
      <c r="I69">
        <v>3</v>
      </c>
      <c r="L69" s="14" t="s">
        <v>424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8AED-47F8-2C4F-B5CF-D67698685DA6}">
  <dimension ref="A1:J69"/>
  <sheetViews>
    <sheetView workbookViewId="0">
      <selection activeCell="L12" sqref="L12"/>
    </sheetView>
  </sheetViews>
  <sheetFormatPr defaultColWidth="11" defaultRowHeight="15.75"/>
  <cols>
    <col min="1" max="1" width="21" bestFit="1" customWidth="1"/>
    <col min="2" max="2" width="13.375" customWidth="1"/>
    <col min="3" max="3" width="32.125" bestFit="1" customWidth="1"/>
    <col min="5" max="5" width="16" bestFit="1" customWidth="1"/>
  </cols>
  <sheetData>
    <row r="1" spans="1:9">
      <c r="A1" s="11" t="s">
        <v>95</v>
      </c>
      <c r="B1" t="s">
        <v>94</v>
      </c>
    </row>
    <row r="2" spans="1:9">
      <c r="B2" t="s">
        <v>140</v>
      </c>
      <c r="I2" t="s">
        <v>401</v>
      </c>
    </row>
    <row r="3" spans="1:9">
      <c r="A3" s="4" t="s">
        <v>377</v>
      </c>
      <c r="B3" s="4" t="s">
        <v>81</v>
      </c>
      <c r="C3" s="4" t="s">
        <v>10</v>
      </c>
      <c r="D3" s="4" t="s">
        <v>29</v>
      </c>
      <c r="E3" s="4"/>
      <c r="F3" s="4" t="s">
        <v>79</v>
      </c>
      <c r="G3" s="4"/>
    </row>
    <row r="4" spans="1:9" ht="18">
      <c r="A4" t="str">
        <f>CONCATENATE(B4,"_Sticky")</f>
        <v>Chaet_flex_Sticky</v>
      </c>
      <c r="B4" s="1" t="s">
        <v>60</v>
      </c>
      <c r="C4" s="9" t="s">
        <v>58</v>
      </c>
      <c r="D4">
        <v>1</v>
      </c>
      <c r="E4" t="s">
        <v>131</v>
      </c>
      <c r="F4">
        <v>2</v>
      </c>
      <c r="I4" s="12"/>
    </row>
    <row r="5" spans="1:9">
      <c r="A5" t="str">
        <f>CONCATENATE(B5,"_Sticky")</f>
        <v>Chaet_grac_Sticky</v>
      </c>
      <c r="B5" s="1" t="s">
        <v>61</v>
      </c>
      <c r="C5" s="9" t="s">
        <v>52</v>
      </c>
      <c r="D5">
        <v>1</v>
      </c>
      <c r="E5" t="s">
        <v>131</v>
      </c>
      <c r="F5">
        <v>17</v>
      </c>
    </row>
    <row r="6" spans="1:9">
      <c r="A6" t="str">
        <f>CONCATENATE(B6,"_Sticky")</f>
        <v>Prob_inerm_Sticky</v>
      </c>
      <c r="B6" s="1" t="s">
        <v>62</v>
      </c>
      <c r="C6" s="9" t="s">
        <v>57</v>
      </c>
      <c r="D6">
        <v>0</v>
      </c>
      <c r="E6" t="s">
        <v>110</v>
      </c>
    </row>
    <row r="7" spans="1:9">
      <c r="A7" t="str">
        <f>CONCATENATE(B7,"_Sticky")</f>
        <v>Frag_island_Sticky</v>
      </c>
      <c r="B7" s="1" t="s">
        <v>63</v>
      </c>
      <c r="C7" s="9" t="s">
        <v>59</v>
      </c>
      <c r="D7">
        <v>0</v>
      </c>
      <c r="E7" t="s">
        <v>110</v>
      </c>
    </row>
    <row r="8" spans="1:9">
      <c r="A8" t="str">
        <f>CONCATENATE(B8,"_Sticky")</f>
        <v>Phae_antarc_Sticky</v>
      </c>
      <c r="B8" s="1" t="s">
        <v>64</v>
      </c>
      <c r="C8" s="9" t="s">
        <v>54</v>
      </c>
      <c r="D8">
        <v>1</v>
      </c>
      <c r="E8" t="s">
        <v>125</v>
      </c>
    </row>
    <row r="9" spans="1:9">
      <c r="A9" t="str">
        <f>CONCATENATE(B9,"_Sticky")</f>
        <v>Frag_sp5_Sticky</v>
      </c>
      <c r="B9" s="1" t="s">
        <v>65</v>
      </c>
      <c r="C9" s="9" t="s">
        <v>55</v>
      </c>
      <c r="D9">
        <v>0</v>
      </c>
      <c r="E9" t="s">
        <v>110</v>
      </c>
    </row>
    <row r="10" spans="1:9">
      <c r="A10" t="str">
        <f>CONCATENATE(B10,"_Sticky")</f>
        <v>Lennox_fav_Sticky</v>
      </c>
      <c r="B10" s="1" t="s">
        <v>66</v>
      </c>
      <c r="C10" s="9" t="s">
        <v>56</v>
      </c>
      <c r="D10">
        <v>0</v>
      </c>
      <c r="E10" t="s">
        <v>110</v>
      </c>
    </row>
    <row r="11" spans="1:9">
      <c r="A11" t="str">
        <f>CONCATENATE(B11,"_Sticky")</f>
        <v>Actino_curv_Sticky</v>
      </c>
      <c r="B11" s="1" t="s">
        <v>42</v>
      </c>
      <c r="C11" s="2" t="s">
        <v>14</v>
      </c>
      <c r="D11">
        <v>0</v>
      </c>
      <c r="E11" t="s">
        <v>110</v>
      </c>
    </row>
    <row r="12" spans="1:9">
      <c r="A12" t="str">
        <f>CONCATENATE(B12,"_Sticky")</f>
        <v>Astero_hept_Sticky</v>
      </c>
      <c r="B12" s="1" t="s">
        <v>43</v>
      </c>
      <c r="C12" s="2" t="s">
        <v>15</v>
      </c>
      <c r="D12">
        <v>0</v>
      </c>
      <c r="E12" t="s">
        <v>110</v>
      </c>
    </row>
    <row r="13" spans="1:9">
      <c r="A13" t="str">
        <f>CONCATENATE(B13,"_Sticky")</f>
        <v>Astero_robust_Sticky</v>
      </c>
      <c r="B13" s="1" t="s">
        <v>44</v>
      </c>
      <c r="C13" s="2" t="s">
        <v>16</v>
      </c>
      <c r="D13">
        <v>0</v>
      </c>
      <c r="E13" t="s">
        <v>110</v>
      </c>
    </row>
    <row r="14" spans="1:9">
      <c r="A14" t="str">
        <f>CONCATENATE(B14,"_Sticky")</f>
        <v>Coscino_marg_Sticky</v>
      </c>
      <c r="B14" s="1" t="s">
        <v>45</v>
      </c>
      <c r="C14" s="2" t="s">
        <v>17</v>
      </c>
      <c r="D14">
        <v>0</v>
      </c>
      <c r="E14" t="s">
        <v>110</v>
      </c>
    </row>
    <row r="15" spans="1:9">
      <c r="A15" t="str">
        <f>CONCATENATE(B15,"_Sticky")</f>
        <v>Coscino_oculus_Sticky</v>
      </c>
      <c r="B15" s="1" t="s">
        <v>46</v>
      </c>
      <c r="C15" s="2" t="s">
        <v>18</v>
      </c>
      <c r="D15">
        <v>0</v>
      </c>
      <c r="E15" t="s">
        <v>110</v>
      </c>
    </row>
    <row r="16" spans="1:9">
      <c r="A16" t="str">
        <f>CONCATENATE(B16,"_Sticky")</f>
        <v>Coscino_spp20_Sticky</v>
      </c>
      <c r="B16" s="1" t="s">
        <v>47</v>
      </c>
      <c r="C16" s="2" t="s">
        <v>19</v>
      </c>
      <c r="D16">
        <v>0</v>
      </c>
      <c r="E16" t="s">
        <v>110</v>
      </c>
    </row>
    <row r="17" spans="1:10" ht="18.75">
      <c r="A17" t="str">
        <f>CONCATENATE(B17,"_Sticky")</f>
        <v>Podo_elegans_Sticky</v>
      </c>
      <c r="B17" s="1" t="s">
        <v>48</v>
      </c>
      <c r="C17" s="2" t="s">
        <v>20</v>
      </c>
      <c r="D17">
        <v>0</v>
      </c>
      <c r="E17" t="s">
        <v>110</v>
      </c>
      <c r="J17" s="12" t="s">
        <v>124</v>
      </c>
    </row>
    <row r="18" spans="1:10">
      <c r="A18" t="str">
        <f>CONCATENATE(B18,"_Sticky")</f>
        <v>Thalas_trif_Sticky</v>
      </c>
      <c r="B18" s="1" t="s">
        <v>49</v>
      </c>
      <c r="C18" s="2" t="s">
        <v>21</v>
      </c>
      <c r="D18">
        <v>0</v>
      </c>
      <c r="E18" t="s">
        <v>110</v>
      </c>
    </row>
    <row r="19" spans="1:10">
      <c r="A19" t="str">
        <f>CONCATENATE(B19,"_Sticky")</f>
        <v>Nitz_spp_Sticky</v>
      </c>
      <c r="B19" s="1" t="s">
        <v>50</v>
      </c>
      <c r="C19" s="2" t="s">
        <v>22</v>
      </c>
      <c r="D19">
        <v>0</v>
      </c>
      <c r="E19" t="s">
        <v>110</v>
      </c>
    </row>
    <row r="20" spans="1:10">
      <c r="A20" t="str">
        <f>CONCATENATE(B20,"_Sticky")</f>
        <v>Thala_antarc_Sticky</v>
      </c>
      <c r="B20" s="1" t="s">
        <v>38</v>
      </c>
      <c r="C20" s="2" t="s">
        <v>7</v>
      </c>
      <c r="D20">
        <v>0</v>
      </c>
      <c r="E20" t="s">
        <v>110</v>
      </c>
    </row>
    <row r="21" spans="1:10">
      <c r="A21" t="str">
        <f>CONCATENATE(B21,"_Sticky")</f>
        <v>Thala_grav_Sticky</v>
      </c>
      <c r="B21" s="1" t="s">
        <v>39</v>
      </c>
      <c r="C21" s="2" t="s">
        <v>8</v>
      </c>
      <c r="D21">
        <v>1</v>
      </c>
      <c r="E21" t="s">
        <v>125</v>
      </c>
      <c r="F21">
        <v>2</v>
      </c>
    </row>
    <row r="22" spans="1:10">
      <c r="A22" t="str">
        <f>CONCATENATE(B22,"_Sticky")</f>
        <v>Bact_bath_Sticky</v>
      </c>
      <c r="B22" s="1" t="s">
        <v>32</v>
      </c>
      <c r="C22" s="2" t="s">
        <v>3</v>
      </c>
      <c r="D22">
        <v>0</v>
      </c>
      <c r="E22" t="s">
        <v>110</v>
      </c>
    </row>
    <row r="23" spans="1:10">
      <c r="A23" t="str">
        <f>CONCATENATE(B23,"_Sticky")</f>
        <v>Neo_sem_Sticky</v>
      </c>
      <c r="B23" s="1" t="s">
        <v>36</v>
      </c>
      <c r="C23" s="2" t="s">
        <v>6</v>
      </c>
      <c r="D23">
        <v>1</v>
      </c>
      <c r="F23">
        <v>1</v>
      </c>
    </row>
    <row r="24" spans="1:10">
      <c r="A24" t="str">
        <f>CONCATENATE(B24,"_Sticky")</f>
        <v>Rhizo_heb_semi_Sticky</v>
      </c>
      <c r="B24" s="1" t="s">
        <v>37</v>
      </c>
      <c r="C24" s="2" t="s">
        <v>111</v>
      </c>
      <c r="D24">
        <v>0</v>
      </c>
      <c r="E24" t="s">
        <v>110</v>
      </c>
    </row>
    <row r="25" spans="1:10">
      <c r="A25" t="str">
        <f>CONCATENATE(B25,"_Sticky")</f>
        <v>Rhizo_heb_hiem_Sticky</v>
      </c>
      <c r="B25" s="1" t="s">
        <v>393</v>
      </c>
      <c r="C25" s="2" t="s">
        <v>112</v>
      </c>
      <c r="D25">
        <v>0</v>
      </c>
      <c r="E25" t="s">
        <v>110</v>
      </c>
    </row>
    <row r="26" spans="1:10">
      <c r="A26" t="str">
        <f>CONCATENATE(B26,"_Sticky")</f>
        <v>Thalx_long_Sticky</v>
      </c>
      <c r="B26" s="1" t="s">
        <v>40</v>
      </c>
      <c r="C26" s="2" t="s">
        <v>9</v>
      </c>
      <c r="D26">
        <v>1</v>
      </c>
      <c r="E26" t="s">
        <v>141</v>
      </c>
      <c r="F26">
        <v>3</v>
      </c>
    </row>
    <row r="27" spans="1:10">
      <c r="A27" t="str">
        <f>CONCATENATE(B27,"_Sticky")</f>
        <v>Thalx_antarc_Sticky</v>
      </c>
      <c r="B27" s="8" t="s">
        <v>136</v>
      </c>
      <c r="C27" s="6" t="s">
        <v>135</v>
      </c>
      <c r="D27">
        <v>1</v>
      </c>
      <c r="E27" t="s">
        <v>141</v>
      </c>
      <c r="F27">
        <v>3</v>
      </c>
    </row>
    <row r="28" spans="1:10">
      <c r="A28" t="str">
        <f>CONCATENATE(B28,"_Sticky")</f>
        <v>Frag_kerg_Sticky</v>
      </c>
      <c r="B28" s="8" t="s">
        <v>142</v>
      </c>
      <c r="C28" s="6" t="s">
        <v>70</v>
      </c>
      <c r="D28">
        <v>0</v>
      </c>
      <c r="E28" t="s">
        <v>110</v>
      </c>
    </row>
    <row r="29" spans="1:10">
      <c r="A29" t="str">
        <f>CONCATENATE(B29,"_Sticky")</f>
        <v>Pseudo_line_Sticky</v>
      </c>
      <c r="B29" s="8" t="s">
        <v>146</v>
      </c>
      <c r="C29" s="6" t="s">
        <v>147</v>
      </c>
      <c r="D29">
        <v>0</v>
      </c>
      <c r="E29" t="s">
        <v>110</v>
      </c>
    </row>
    <row r="30" spans="1:10">
      <c r="A30" t="str">
        <f>CONCATENATE(B30,"_Sticky")</f>
        <v>Thala_grac_Sticky</v>
      </c>
      <c r="B30" s="8" t="s">
        <v>153</v>
      </c>
      <c r="C30" s="6" t="s">
        <v>150</v>
      </c>
      <c r="D30">
        <v>0</v>
      </c>
      <c r="E30" t="s">
        <v>110</v>
      </c>
    </row>
    <row r="31" spans="1:10">
      <c r="A31" t="str">
        <f>CONCATENATE(B31,"_Sticky")</f>
        <v>Frag_pseud_Sticky</v>
      </c>
      <c r="B31" s="8" t="s">
        <v>157</v>
      </c>
      <c r="C31" s="6" t="s">
        <v>156</v>
      </c>
      <c r="D31">
        <v>0</v>
      </c>
      <c r="E31" t="s">
        <v>110</v>
      </c>
    </row>
    <row r="32" spans="1:10">
      <c r="A32" t="str">
        <f>CONCATENATE(B32,"_Sticky")</f>
        <v>Nav_direc_Sticky</v>
      </c>
      <c r="B32" s="8" t="s">
        <v>161</v>
      </c>
      <c r="C32" s="6" t="s">
        <v>162</v>
      </c>
      <c r="D32">
        <v>0</v>
      </c>
      <c r="E32" t="s">
        <v>110</v>
      </c>
      <c r="F32" s="8"/>
      <c r="G32" s="6"/>
    </row>
    <row r="33" spans="1:5">
      <c r="A33" t="str">
        <f t="shared" ref="A33:A63" si="0">CONCATENATE(B33,"_Sticky")</f>
        <v>Thala_lent_Sticky</v>
      </c>
      <c r="B33" s="8" t="s">
        <v>165</v>
      </c>
      <c r="C33" s="6" t="s">
        <v>166</v>
      </c>
      <c r="D33">
        <v>0</v>
      </c>
      <c r="E33" t="s">
        <v>110</v>
      </c>
    </row>
    <row r="34" spans="1:5">
      <c r="A34" t="str">
        <f t="shared" si="0"/>
        <v>Pseudo_heim_Sticky</v>
      </c>
      <c r="B34" s="8" t="s">
        <v>169</v>
      </c>
      <c r="C34" s="6" t="s">
        <v>170</v>
      </c>
      <c r="D34">
        <v>0</v>
      </c>
      <c r="E34" t="s">
        <v>110</v>
      </c>
    </row>
    <row r="35" spans="1:5">
      <c r="A35" t="str">
        <f t="shared" si="0"/>
        <v>Frag_rhomb_Sticky</v>
      </c>
      <c r="B35" s="1" t="s">
        <v>172</v>
      </c>
      <c r="C35" s="2" t="s">
        <v>71</v>
      </c>
      <c r="D35">
        <v>0</v>
      </c>
      <c r="E35" t="s">
        <v>110</v>
      </c>
    </row>
    <row r="36" spans="1:5">
      <c r="A36" t="str">
        <f t="shared" si="0"/>
        <v>Azp_tab_Sticky</v>
      </c>
      <c r="B36" s="8" t="s">
        <v>179</v>
      </c>
      <c r="C36" s="6" t="s">
        <v>178</v>
      </c>
      <c r="D36">
        <v>0</v>
      </c>
      <c r="E36" t="s">
        <v>110</v>
      </c>
    </row>
    <row r="37" spans="1:5">
      <c r="A37" t="str">
        <f t="shared" si="0"/>
        <v>Thal_olive_Sticky</v>
      </c>
      <c r="B37" s="8" t="s">
        <v>182</v>
      </c>
      <c r="C37" s="6" t="s">
        <v>183</v>
      </c>
      <c r="D37">
        <v>0</v>
      </c>
      <c r="E37" t="s">
        <v>110</v>
      </c>
    </row>
    <row r="38" spans="1:5">
      <c r="A38" t="str">
        <f t="shared" si="0"/>
        <v>Chaet_atlant_Sticky</v>
      </c>
      <c r="B38" s="1" t="s">
        <v>33</v>
      </c>
      <c r="C38" s="2" t="s">
        <v>4</v>
      </c>
      <c r="D38" s="7">
        <v>1</v>
      </c>
      <c r="E38" t="s">
        <v>131</v>
      </c>
    </row>
    <row r="39" spans="1:5">
      <c r="A39" t="str">
        <f t="shared" si="0"/>
        <v>Thal_nitz_Sticky</v>
      </c>
      <c r="B39" s="8" t="s">
        <v>192</v>
      </c>
      <c r="C39" s="6" t="s">
        <v>74</v>
      </c>
      <c r="D39">
        <v>0</v>
      </c>
      <c r="E39" t="s">
        <v>110</v>
      </c>
    </row>
    <row r="40" spans="1:5">
      <c r="A40" t="str">
        <f t="shared" si="0"/>
        <v>Nitz_bicap_Sticky</v>
      </c>
      <c r="B40" s="8" t="s">
        <v>195</v>
      </c>
      <c r="C40" s="6" t="s">
        <v>72</v>
      </c>
      <c r="D40">
        <v>0</v>
      </c>
      <c r="E40" t="s">
        <v>110</v>
      </c>
    </row>
    <row r="41" spans="1:5">
      <c r="A41" t="str">
        <f t="shared" si="0"/>
        <v>Hem_cune_Sticky</v>
      </c>
      <c r="B41" s="8" t="s">
        <v>197</v>
      </c>
      <c r="C41" s="6" t="s">
        <v>196</v>
      </c>
      <c r="D41">
        <v>0</v>
      </c>
      <c r="E41" t="s">
        <v>110</v>
      </c>
    </row>
    <row r="42" spans="1:5">
      <c r="A42" t="str">
        <f t="shared" si="0"/>
        <v>Rope_tess_Sticky</v>
      </c>
      <c r="B42" s="8" t="s">
        <v>200</v>
      </c>
      <c r="C42" s="6" t="s">
        <v>73</v>
      </c>
      <c r="D42">
        <v>0</v>
      </c>
      <c r="E42" t="s">
        <v>110</v>
      </c>
    </row>
    <row r="43" spans="1:5">
      <c r="A43" t="str">
        <f t="shared" si="0"/>
        <v>Thala_line_Sticky</v>
      </c>
      <c r="B43" s="8" t="s">
        <v>203</v>
      </c>
      <c r="C43" s="6" t="s">
        <v>204</v>
      </c>
      <c r="D43">
        <v>0</v>
      </c>
      <c r="E43" t="s">
        <v>110</v>
      </c>
    </row>
    <row r="44" spans="1:5">
      <c r="A44" t="str">
        <f t="shared" si="0"/>
        <v>Thala_ecc_Sticky</v>
      </c>
      <c r="B44" s="1" t="s">
        <v>208</v>
      </c>
      <c r="C44" s="2" t="s">
        <v>206</v>
      </c>
      <c r="D44">
        <v>0</v>
      </c>
      <c r="E44" t="s">
        <v>110</v>
      </c>
    </row>
    <row r="45" spans="1:5">
      <c r="A45" t="str">
        <f t="shared" si="0"/>
        <v>Thala_oest_Sticky</v>
      </c>
      <c r="B45" s="1" t="s">
        <v>355</v>
      </c>
      <c r="C45" s="2" t="s">
        <v>354</v>
      </c>
      <c r="D45">
        <v>0</v>
      </c>
      <c r="E45" t="s">
        <v>110</v>
      </c>
    </row>
    <row r="46" spans="1:5">
      <c r="A46" t="str">
        <f t="shared" si="0"/>
        <v>Trich_rein_Sticky</v>
      </c>
      <c r="B46" s="8" t="s">
        <v>213</v>
      </c>
      <c r="C46" s="6" t="s">
        <v>212</v>
      </c>
      <c r="D46">
        <v>0</v>
      </c>
      <c r="E46" t="s">
        <v>110</v>
      </c>
    </row>
    <row r="47" spans="1:5">
      <c r="A47" t="str">
        <f t="shared" si="0"/>
        <v>Rhizo_ant_semi_Sticky</v>
      </c>
      <c r="B47" s="8" t="s">
        <v>218</v>
      </c>
      <c r="C47" s="6" t="s">
        <v>220</v>
      </c>
      <c r="D47">
        <v>0</v>
      </c>
      <c r="E47" t="s">
        <v>110</v>
      </c>
    </row>
    <row r="48" spans="1:5">
      <c r="A48" t="str">
        <f t="shared" si="0"/>
        <v>Rhizo_poly_Sticky</v>
      </c>
      <c r="B48" s="8" t="s">
        <v>225</v>
      </c>
      <c r="C48" s="6" t="s">
        <v>221</v>
      </c>
      <c r="D48">
        <v>0</v>
      </c>
      <c r="E48" t="s">
        <v>110</v>
      </c>
    </row>
    <row r="49" spans="1:6">
      <c r="A49" t="str">
        <f t="shared" si="0"/>
        <v>Rhizo_curv_Sticky</v>
      </c>
      <c r="B49" s="8" t="s">
        <v>226</v>
      </c>
      <c r="C49" s="6" t="s">
        <v>222</v>
      </c>
      <c r="D49">
        <v>0</v>
      </c>
      <c r="E49" t="s">
        <v>110</v>
      </c>
    </row>
    <row r="50" spans="1:6">
      <c r="A50" t="str">
        <f t="shared" si="0"/>
        <v>Rhizo_crass_Sticky</v>
      </c>
      <c r="B50" s="8" t="s">
        <v>227</v>
      </c>
      <c r="C50" s="6" t="s">
        <v>223</v>
      </c>
      <c r="D50">
        <v>0</v>
      </c>
      <c r="E50" t="s">
        <v>110</v>
      </c>
    </row>
    <row r="51" spans="1:6">
      <c r="A51" t="str">
        <f t="shared" si="0"/>
        <v>Rhizo_sima_Sticky</v>
      </c>
      <c r="B51" s="8" t="s">
        <v>228</v>
      </c>
      <c r="C51" s="6" t="s">
        <v>224</v>
      </c>
      <c r="D51">
        <v>0</v>
      </c>
      <c r="E51" t="s">
        <v>110</v>
      </c>
    </row>
    <row r="52" spans="1:6">
      <c r="A52" t="str">
        <f t="shared" si="0"/>
        <v>Frag_curta_Sticky</v>
      </c>
      <c r="B52" s="8" t="s">
        <v>263</v>
      </c>
      <c r="C52" s="6" t="s">
        <v>259</v>
      </c>
      <c r="D52">
        <v>0</v>
      </c>
      <c r="E52" t="s">
        <v>110</v>
      </c>
    </row>
    <row r="53" spans="1:6">
      <c r="A53" t="str">
        <f t="shared" si="0"/>
        <v>Frag_cylin_Sticky</v>
      </c>
      <c r="B53" s="8" t="s">
        <v>35</v>
      </c>
      <c r="C53" s="6" t="s">
        <v>53</v>
      </c>
      <c r="D53">
        <v>0</v>
      </c>
      <c r="E53" t="s">
        <v>110</v>
      </c>
    </row>
    <row r="54" spans="1:6">
      <c r="A54" t="str">
        <f t="shared" si="0"/>
        <v>Frag_rits_Sticky</v>
      </c>
      <c r="B54" s="8" t="s">
        <v>264</v>
      </c>
      <c r="C54" s="6" t="s">
        <v>260</v>
      </c>
      <c r="D54">
        <v>0</v>
      </c>
      <c r="E54" t="s">
        <v>110</v>
      </c>
    </row>
    <row r="55" spans="1:6">
      <c r="A55" t="str">
        <f t="shared" si="0"/>
        <v>Frag_sep_Sticky</v>
      </c>
      <c r="B55" s="8" t="s">
        <v>265</v>
      </c>
      <c r="C55" s="6" t="s">
        <v>261</v>
      </c>
      <c r="D55">
        <v>0</v>
      </c>
      <c r="E55" t="s">
        <v>110</v>
      </c>
    </row>
    <row r="56" spans="1:6">
      <c r="A56" t="str">
        <f t="shared" si="0"/>
        <v>Core_crio_Sticky</v>
      </c>
      <c r="B56" s="1" t="s">
        <v>34</v>
      </c>
      <c r="C56" s="2" t="s">
        <v>5</v>
      </c>
      <c r="D56">
        <v>0</v>
      </c>
      <c r="E56" t="s">
        <v>110</v>
      </c>
    </row>
    <row r="57" spans="1:6">
      <c r="A57" t="str">
        <f t="shared" si="0"/>
        <v>Core_penn_Sticky</v>
      </c>
      <c r="B57" s="1" t="s">
        <v>275</v>
      </c>
      <c r="C57" s="2" t="s">
        <v>276</v>
      </c>
      <c r="D57">
        <v>0</v>
      </c>
      <c r="E57" t="s">
        <v>110</v>
      </c>
    </row>
    <row r="58" spans="1:6">
      <c r="A58" t="str">
        <f t="shared" si="0"/>
        <v>Core_inerme_Sticky</v>
      </c>
      <c r="B58" s="1" t="s">
        <v>278</v>
      </c>
      <c r="C58" s="2" t="s">
        <v>279</v>
      </c>
      <c r="D58">
        <v>0</v>
      </c>
      <c r="E58" t="s">
        <v>110</v>
      </c>
    </row>
    <row r="59" spans="1:6">
      <c r="A59" t="str">
        <f t="shared" si="0"/>
        <v>Euc_antarc_Sticky</v>
      </c>
      <c r="B59" s="1" t="s">
        <v>293</v>
      </c>
      <c r="C59" s="2" t="s">
        <v>69</v>
      </c>
      <c r="D59">
        <v>0</v>
      </c>
      <c r="E59" t="s">
        <v>110</v>
      </c>
    </row>
    <row r="60" spans="1:6">
      <c r="A60" t="str">
        <f t="shared" si="0"/>
        <v>Dact_antarc_Sticky</v>
      </c>
      <c r="B60" s="1" t="s">
        <v>300</v>
      </c>
      <c r="C60" s="2" t="s">
        <v>68</v>
      </c>
      <c r="D60">
        <v>0</v>
      </c>
      <c r="E60" t="s">
        <v>110</v>
      </c>
    </row>
    <row r="61" spans="1:6">
      <c r="A61" t="str">
        <f t="shared" si="0"/>
        <v>Mem_chall_Sticky</v>
      </c>
      <c r="B61" s="8" t="s">
        <v>305</v>
      </c>
      <c r="C61" s="6" t="s">
        <v>306</v>
      </c>
      <c r="D61">
        <v>0</v>
      </c>
      <c r="E61" t="s">
        <v>110</v>
      </c>
    </row>
    <row r="62" spans="1:6">
      <c r="A62" t="str">
        <f t="shared" si="0"/>
        <v>Odon_weiss_Sticky</v>
      </c>
      <c r="B62" s="1" t="s">
        <v>309</v>
      </c>
      <c r="C62" s="6" t="s">
        <v>310</v>
      </c>
      <c r="D62">
        <v>0</v>
      </c>
      <c r="E62" t="s">
        <v>110</v>
      </c>
    </row>
    <row r="63" spans="1:6">
      <c r="A63" t="str">
        <f t="shared" si="0"/>
        <v>Stel_micro_Sticky</v>
      </c>
      <c r="B63" s="1" t="s">
        <v>394</v>
      </c>
      <c r="C63" s="2" t="s">
        <v>395</v>
      </c>
      <c r="D63">
        <v>0</v>
      </c>
      <c r="E63" t="s">
        <v>110</v>
      </c>
    </row>
    <row r="64" spans="1:6">
      <c r="A64" t="str">
        <f t="shared" ref="A64:A69" si="1">CONCATENATE(B64,"_Sticky")</f>
        <v>Chaet_dich_Sticky</v>
      </c>
      <c r="B64" s="1" t="s">
        <v>409</v>
      </c>
      <c r="C64" s="2" t="s">
        <v>77</v>
      </c>
      <c r="D64">
        <v>1</v>
      </c>
      <c r="E64" t="s">
        <v>131</v>
      </c>
      <c r="F64">
        <v>2</v>
      </c>
    </row>
    <row r="65" spans="1:6">
      <c r="A65" t="str">
        <f t="shared" si="1"/>
        <v>Chaet_peru_Sticky</v>
      </c>
      <c r="B65" s="1" t="s">
        <v>410</v>
      </c>
      <c r="C65" s="2" t="s">
        <v>67</v>
      </c>
      <c r="D65">
        <v>1</v>
      </c>
      <c r="E65" t="s">
        <v>131</v>
      </c>
      <c r="F65">
        <v>2</v>
      </c>
    </row>
    <row r="66" spans="1:6">
      <c r="A66" t="str">
        <f t="shared" si="1"/>
        <v>Chaet_deb_Sticky</v>
      </c>
      <c r="B66" s="1" t="s">
        <v>411</v>
      </c>
      <c r="C66" s="2" t="s">
        <v>76</v>
      </c>
      <c r="D66">
        <v>1</v>
      </c>
      <c r="E66" t="s">
        <v>131</v>
      </c>
      <c r="F66">
        <v>2</v>
      </c>
    </row>
    <row r="67" spans="1:6">
      <c r="A67" t="str">
        <f t="shared" si="1"/>
        <v>Astero_hya_Sticky</v>
      </c>
      <c r="B67" s="1" t="s">
        <v>412</v>
      </c>
      <c r="C67" s="2" t="s">
        <v>406</v>
      </c>
      <c r="D67">
        <v>0</v>
      </c>
      <c r="E67" t="s">
        <v>110</v>
      </c>
    </row>
    <row r="68" spans="1:6">
      <c r="A68" t="str">
        <f t="shared" si="1"/>
        <v>Emil_hux_Sticky</v>
      </c>
      <c r="B68" s="1" t="s">
        <v>41</v>
      </c>
      <c r="C68" s="2" t="s">
        <v>407</v>
      </c>
    </row>
    <row r="69" spans="1:6">
      <c r="A69" t="str">
        <f t="shared" si="1"/>
        <v>Has_trom_Sticky</v>
      </c>
      <c r="B69" s="1" t="s">
        <v>413</v>
      </c>
      <c r="C69" s="2" t="s">
        <v>408</v>
      </c>
      <c r="D69">
        <v>0</v>
      </c>
      <c r="E69" t="s">
        <v>110</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2AA8E-3C5F-A54C-9C92-93F7D26EEA15}">
  <dimension ref="A1:BD69"/>
  <sheetViews>
    <sheetView zoomScale="70" zoomScaleNormal="70" workbookViewId="0"/>
  </sheetViews>
  <sheetFormatPr defaultColWidth="11" defaultRowHeight="15.75"/>
  <cols>
    <col min="2" max="2" width="21" bestFit="1" customWidth="1"/>
    <col min="3" max="3" width="11.875" bestFit="1" customWidth="1"/>
    <col min="4" max="4" width="35.875" bestFit="1" customWidth="1"/>
    <col min="5" max="6" width="35.875" customWidth="1"/>
    <col min="7" max="7" width="13.625" customWidth="1"/>
    <col min="8" max="8" width="13.875" customWidth="1"/>
    <col min="9" max="9" width="13.875" style="3" customWidth="1"/>
    <col min="10" max="10" width="13.875" style="104" customWidth="1"/>
    <col min="11" max="11" width="13.875" style="3" customWidth="1"/>
    <col min="13" max="26" width="10.875" customWidth="1"/>
  </cols>
  <sheetData>
    <row r="1" spans="1:56" ht="16.5" thickBot="1">
      <c r="A1" t="s">
        <v>443</v>
      </c>
      <c r="I1"/>
      <c r="J1" s="64"/>
      <c r="K1"/>
    </row>
    <row r="2" spans="1:56" ht="31.5">
      <c r="I2" s="103" t="s">
        <v>392</v>
      </c>
      <c r="J2" s="64"/>
      <c r="K2" s="103"/>
      <c r="M2" s="111" t="s">
        <v>319</v>
      </c>
      <c r="N2" s="112"/>
      <c r="O2" s="112"/>
      <c r="P2" s="112"/>
      <c r="Q2" s="112"/>
      <c r="R2" s="112"/>
      <c r="S2" s="112"/>
      <c r="T2" s="111" t="s">
        <v>319</v>
      </c>
      <c r="U2" s="112"/>
      <c r="V2" s="112"/>
      <c r="W2" s="112"/>
      <c r="X2" s="112"/>
      <c r="Y2" s="112"/>
      <c r="Z2" s="113"/>
      <c r="AA2" s="114" t="s">
        <v>320</v>
      </c>
      <c r="AB2" s="115"/>
      <c r="AC2" s="115"/>
      <c r="AD2" s="36" t="s">
        <v>321</v>
      </c>
      <c r="AE2" s="116" t="s">
        <v>320</v>
      </c>
      <c r="AF2" s="117"/>
      <c r="AG2" s="117"/>
      <c r="AH2" s="37" t="s">
        <v>321</v>
      </c>
      <c r="AI2" s="114" t="s">
        <v>320</v>
      </c>
      <c r="AJ2" s="115"/>
      <c r="AK2" s="115"/>
      <c r="AL2" s="36" t="s">
        <v>321</v>
      </c>
      <c r="AM2" s="118" t="s">
        <v>320</v>
      </c>
      <c r="AN2" s="119"/>
      <c r="AO2" s="119"/>
      <c r="AP2" s="38" t="s">
        <v>321</v>
      </c>
      <c r="AQ2" s="39" t="s">
        <v>321</v>
      </c>
      <c r="AR2" s="108" t="s">
        <v>322</v>
      </c>
      <c r="AS2" s="109"/>
      <c r="AT2" s="109"/>
      <c r="AU2" s="109"/>
      <c r="AV2" s="109"/>
      <c r="AW2" s="110"/>
    </row>
    <row r="3" spans="1:56" ht="17.25">
      <c r="A3" t="s">
        <v>316</v>
      </c>
      <c r="B3" s="4" t="s">
        <v>377</v>
      </c>
      <c r="C3" s="4" t="s">
        <v>81</v>
      </c>
      <c r="D3" s="4" t="s">
        <v>10</v>
      </c>
      <c r="E3" t="s">
        <v>104</v>
      </c>
      <c r="F3" s="4" t="s">
        <v>334</v>
      </c>
      <c r="G3" s="4" t="s">
        <v>388</v>
      </c>
      <c r="H3" s="4" t="s">
        <v>389</v>
      </c>
      <c r="I3" s="4" t="s">
        <v>390</v>
      </c>
      <c r="J3" s="64" t="s">
        <v>391</v>
      </c>
      <c r="K3" s="4" t="s">
        <v>404</v>
      </c>
      <c r="L3" s="4" t="s">
        <v>405</v>
      </c>
      <c r="M3" s="66" t="s">
        <v>357</v>
      </c>
      <c r="N3" s="67" t="s">
        <v>358</v>
      </c>
      <c r="O3" s="67" t="s">
        <v>359</v>
      </c>
      <c r="P3" s="67" t="s">
        <v>360</v>
      </c>
      <c r="Q3" s="67" t="s">
        <v>361</v>
      </c>
      <c r="R3" s="67" t="s">
        <v>362</v>
      </c>
      <c r="S3" s="67" t="s">
        <v>363</v>
      </c>
      <c r="T3" s="68" t="s">
        <v>357</v>
      </c>
      <c r="U3" s="69" t="s">
        <v>358</v>
      </c>
      <c r="V3" s="69" t="s">
        <v>359</v>
      </c>
      <c r="W3" s="69" t="s">
        <v>360</v>
      </c>
      <c r="X3" s="69" t="s">
        <v>361</v>
      </c>
      <c r="Y3" s="69" t="s">
        <v>362</v>
      </c>
      <c r="Z3" s="71" t="s">
        <v>363</v>
      </c>
      <c r="AA3" s="73" t="s">
        <v>364</v>
      </c>
      <c r="AB3" s="74" t="s">
        <v>365</v>
      </c>
      <c r="AC3" s="75" t="s">
        <v>366</v>
      </c>
      <c r="AD3" s="77" t="s">
        <v>367</v>
      </c>
      <c r="AE3" s="78" t="s">
        <v>368</v>
      </c>
      <c r="AF3" s="78" t="s">
        <v>369</v>
      </c>
      <c r="AG3" s="79" t="s">
        <v>370</v>
      </c>
      <c r="AH3" s="78" t="s">
        <v>367</v>
      </c>
      <c r="AI3" s="81" t="s">
        <v>371</v>
      </c>
      <c r="AJ3" s="82" t="s">
        <v>372</v>
      </c>
      <c r="AK3" s="83" t="s">
        <v>373</v>
      </c>
      <c r="AL3" s="84" t="s">
        <v>374</v>
      </c>
      <c r="AM3" s="85" t="s">
        <v>371</v>
      </c>
      <c r="AN3" s="86" t="s">
        <v>372</v>
      </c>
      <c r="AO3" s="87" t="s">
        <v>373</v>
      </c>
      <c r="AP3" s="88" t="s">
        <v>375</v>
      </c>
      <c r="AQ3" s="90" t="s">
        <v>376</v>
      </c>
    </row>
    <row r="4" spans="1:56" s="102" customFormat="1">
      <c r="A4">
        <v>1</v>
      </c>
      <c r="B4" t="str">
        <f>CONCATENATE(C4,"_Size")</f>
        <v>Chaet_flex_Size</v>
      </c>
      <c r="C4" s="1" t="s">
        <v>60</v>
      </c>
      <c r="D4" s="9" t="s">
        <v>58</v>
      </c>
      <c r="E4" s="9"/>
      <c r="F4" s="24" t="s">
        <v>436</v>
      </c>
      <c r="G4" s="64">
        <f t="shared" ref="G4:G35" si="0">MAX($M4:$S4)</f>
        <v>9.4494078742115502</v>
      </c>
      <c r="H4" s="64">
        <f>MAX($T4:$Z4)</f>
        <v>9.4494078742115502</v>
      </c>
      <c r="I4" s="21">
        <f>((3*$AA4)/(4*PI()))^(1/3)</f>
        <v>5.1512140914899938</v>
      </c>
      <c r="J4" s="21">
        <f>((3*$AI4)/(4*PI()))^(1/3)</f>
        <v>9.4494078742115502</v>
      </c>
      <c r="K4" s="21">
        <f>AC4</f>
        <v>0.66666666666666674</v>
      </c>
      <c r="L4" s="106">
        <f>AK4</f>
        <v>0.3666666666666667</v>
      </c>
      <c r="M4" s="21">
        <f t="shared" ref="M4:Z4" si="1">((3*$AI4)/(4*PI()))^(1/3)</f>
        <v>9.4494078742115502</v>
      </c>
      <c r="N4" s="21">
        <f t="shared" si="1"/>
        <v>9.4494078742115502</v>
      </c>
      <c r="O4" s="21">
        <f t="shared" si="1"/>
        <v>9.4494078742115502</v>
      </c>
      <c r="P4" s="21">
        <f t="shared" si="1"/>
        <v>9.4494078742115502</v>
      </c>
      <c r="Q4" s="21">
        <f t="shared" si="1"/>
        <v>9.4494078742115502</v>
      </c>
      <c r="R4" s="21">
        <f t="shared" si="1"/>
        <v>9.4494078742115502</v>
      </c>
      <c r="S4" s="21">
        <f t="shared" si="1"/>
        <v>9.4494078742115502</v>
      </c>
      <c r="T4" s="21">
        <f t="shared" si="1"/>
        <v>9.4494078742115502</v>
      </c>
      <c r="U4" s="21">
        <f t="shared" si="1"/>
        <v>9.4494078742115502</v>
      </c>
      <c r="V4" s="21">
        <f t="shared" si="1"/>
        <v>9.4494078742115502</v>
      </c>
      <c r="W4" s="21">
        <f t="shared" si="1"/>
        <v>9.4494078742115502</v>
      </c>
      <c r="X4" s="21">
        <f t="shared" si="1"/>
        <v>9.4494078742115502</v>
      </c>
      <c r="Y4" s="21">
        <f t="shared" si="1"/>
        <v>9.4494078742115502</v>
      </c>
      <c r="Z4" s="21">
        <f t="shared" si="1"/>
        <v>9.4494078742115502</v>
      </c>
      <c r="AA4" s="20">
        <v>572.55526111673976</v>
      </c>
      <c r="AB4" s="20">
        <v>381.70350741115988</v>
      </c>
      <c r="AC4" s="22">
        <v>0.66666666666666674</v>
      </c>
      <c r="AD4" s="19">
        <v>55.455066619817302</v>
      </c>
      <c r="AE4" s="19">
        <v>572.55526111673998</v>
      </c>
      <c r="AF4" s="19">
        <v>381.70350741115999</v>
      </c>
      <c r="AG4" s="22">
        <v>0.66666666666666696</v>
      </c>
      <c r="AH4" s="19">
        <v>55.455066619817302</v>
      </c>
      <c r="AI4" s="20">
        <v>3534.291735288517</v>
      </c>
      <c r="AJ4" s="20">
        <v>1295.9069696057898</v>
      </c>
      <c r="AK4" s="22">
        <v>0.3666666666666667</v>
      </c>
      <c r="AL4" s="19">
        <v>221.16164945440539</v>
      </c>
      <c r="AM4" s="20">
        <v>3534.2917352885202</v>
      </c>
      <c r="AN4" s="20">
        <v>1295.90696960579</v>
      </c>
      <c r="AO4" s="22">
        <v>0.36666666666666697</v>
      </c>
      <c r="AP4" s="19">
        <v>221.16164945440499</v>
      </c>
      <c r="AQ4" s="19">
        <v>138.30835803711136</v>
      </c>
      <c r="AR4" s="32">
        <v>54</v>
      </c>
      <c r="AS4" s="32"/>
      <c r="AT4" s="32"/>
      <c r="AU4" s="32"/>
      <c r="AV4" s="32"/>
      <c r="AW4" s="32"/>
      <c r="AX4" s="94" t="s">
        <v>328</v>
      </c>
      <c r="AY4" s="35" t="s">
        <v>329</v>
      </c>
      <c r="AZ4"/>
      <c r="BA4"/>
      <c r="BB4"/>
      <c r="BC4"/>
      <c r="BD4" s="101"/>
    </row>
    <row r="5" spans="1:56">
      <c r="A5">
        <v>2</v>
      </c>
      <c r="B5" t="str">
        <f t="shared" ref="B5:B68" si="2">CONCATENATE(C5,"_Size")</f>
        <v>Chaet_grac_Size</v>
      </c>
      <c r="C5" s="1" t="s">
        <v>61</v>
      </c>
      <c r="D5" s="9" t="s">
        <v>52</v>
      </c>
      <c r="E5" s="9"/>
      <c r="F5" s="24" t="s">
        <v>436</v>
      </c>
      <c r="G5" s="64">
        <f t="shared" si="0"/>
        <v>10</v>
      </c>
      <c r="H5" s="64">
        <f t="shared" ref="H5:H68" si="3">MAX($T5:$Z5)</f>
        <v>30</v>
      </c>
      <c r="I5" s="21">
        <f t="shared" ref="I5:I67" si="4">((3*$AA5)/(4*PI()))^(1/3)</f>
        <v>4.0716264248923597</v>
      </c>
      <c r="J5" s="21">
        <f t="shared" ref="J5:J67" si="5">((3*$AI5)/(4*PI()))^(1/3)</f>
        <v>10.041494251232542</v>
      </c>
      <c r="K5" s="21">
        <f t="shared" ref="K5:K63" si="6">AC5</f>
        <v>0.92222222222222228</v>
      </c>
      <c r="L5" s="106">
        <f t="shared" ref="L5:L63" si="7">AK5</f>
        <v>0.37777777777777777</v>
      </c>
      <c r="M5" s="45">
        <v>4</v>
      </c>
      <c r="N5" s="46">
        <v>10</v>
      </c>
      <c r="O5" s="42">
        <v>9</v>
      </c>
      <c r="P5" s="24"/>
      <c r="Q5" s="24"/>
      <c r="R5" s="24"/>
      <c r="S5" s="24"/>
      <c r="T5" s="45">
        <v>30</v>
      </c>
      <c r="U5" s="46">
        <v>10</v>
      </c>
      <c r="V5" s="42">
        <v>18</v>
      </c>
      <c r="W5" s="24"/>
      <c r="X5" s="24"/>
      <c r="Y5" s="24"/>
      <c r="Z5" s="27"/>
      <c r="AA5" s="28">
        <v>282.74333882308139</v>
      </c>
      <c r="AB5" s="20">
        <v>260.75219024795285</v>
      </c>
      <c r="AC5" s="22">
        <v>0.92222222222222228</v>
      </c>
      <c r="AD5" s="29">
        <v>32.438309294468127</v>
      </c>
      <c r="AE5" s="19">
        <v>282.74333882308099</v>
      </c>
      <c r="AF5" s="19">
        <v>260.75219024795302</v>
      </c>
      <c r="AG5" s="22">
        <v>0.92222222222222205</v>
      </c>
      <c r="AH5" s="19">
        <v>32.438309294468098</v>
      </c>
      <c r="AI5" s="28">
        <v>4241.1500823462211</v>
      </c>
      <c r="AJ5" s="20">
        <v>1602.2122533307945</v>
      </c>
      <c r="AK5" s="22">
        <v>0.37777777777777777</v>
      </c>
      <c r="AL5" s="29">
        <v>254.03149688127311</v>
      </c>
      <c r="AM5" s="28">
        <v>4241.1500823462202</v>
      </c>
      <c r="AN5" s="20">
        <v>1602.21225333079</v>
      </c>
      <c r="AO5" s="22">
        <v>0.37777777777777799</v>
      </c>
      <c r="AP5" s="29">
        <v>254.031496881273</v>
      </c>
      <c r="AQ5" s="30">
        <v>143.23490308787063</v>
      </c>
      <c r="AR5" s="31">
        <v>46</v>
      </c>
      <c r="AS5" s="32">
        <v>54</v>
      </c>
      <c r="AT5" s="32"/>
      <c r="AU5" s="32"/>
      <c r="AV5" s="32"/>
      <c r="AW5" s="33"/>
      <c r="AX5" s="34" t="s">
        <v>330</v>
      </c>
      <c r="AY5" s="35" t="s">
        <v>331</v>
      </c>
    </row>
    <row r="6" spans="1:56">
      <c r="A6">
        <v>3</v>
      </c>
      <c r="B6" t="str">
        <f t="shared" si="2"/>
        <v>Prob_inerm_Size</v>
      </c>
      <c r="C6" s="1" t="s">
        <v>62</v>
      </c>
      <c r="D6" s="9" t="s">
        <v>57</v>
      </c>
      <c r="E6" s="9"/>
      <c r="F6" s="26" t="s">
        <v>434</v>
      </c>
      <c r="G6" s="64">
        <f t="shared" si="0"/>
        <v>100</v>
      </c>
      <c r="H6" s="64">
        <f t="shared" si="3"/>
        <v>1000</v>
      </c>
      <c r="I6" s="21">
        <f t="shared" si="4"/>
        <v>13.924766500838336</v>
      </c>
      <c r="J6" s="21">
        <f t="shared" si="5"/>
        <v>31.644336365441742</v>
      </c>
      <c r="K6" s="21">
        <f t="shared" si="6"/>
        <v>0.35333333333333333</v>
      </c>
      <c r="L6" s="106">
        <f t="shared" si="7"/>
        <v>0.30969230769230777</v>
      </c>
      <c r="M6" s="26">
        <v>12</v>
      </c>
      <c r="N6" s="24"/>
      <c r="O6" s="49">
        <v>100</v>
      </c>
      <c r="P6" s="24"/>
      <c r="Q6" s="24"/>
      <c r="R6" s="24"/>
      <c r="S6" s="24"/>
      <c r="T6" s="26">
        <v>13</v>
      </c>
      <c r="U6" s="24"/>
      <c r="V6" s="24">
        <v>1000</v>
      </c>
      <c r="W6" s="24"/>
      <c r="X6" s="24"/>
      <c r="Y6" s="24"/>
      <c r="Z6" s="27"/>
      <c r="AA6" s="28">
        <f>(PI()/4)*M6^2*O6</f>
        <v>11309.733552923255</v>
      </c>
      <c r="AB6" s="20">
        <f>PI()*M6*((M6/2)+O6)</f>
        <v>3996.1058553662169</v>
      </c>
      <c r="AC6" s="22">
        <f>AB6/AA6</f>
        <v>0.35333333333333333</v>
      </c>
      <c r="AD6" s="29">
        <f>10^(0.76*LOG(AA6)-0.352)</f>
        <v>535.33273871250412</v>
      </c>
      <c r="AE6" s="19">
        <v>11309.733552923301</v>
      </c>
      <c r="AF6" s="19">
        <v>3996.1058553662201</v>
      </c>
      <c r="AG6" s="22">
        <v>0.353333333333333</v>
      </c>
      <c r="AH6" s="19">
        <v>535.33273871250401</v>
      </c>
      <c r="AI6" s="28">
        <f>(PI()/4)*T6^2*V6</f>
        <v>132732.28961416875</v>
      </c>
      <c r="AJ6" s="20">
        <f>PI()*T6*((T6/2)+V6)</f>
        <v>41106.169075895654</v>
      </c>
      <c r="AK6" s="22">
        <f>AJ6/AI6</f>
        <v>0.30969230769230777</v>
      </c>
      <c r="AL6" s="29">
        <f>10^(0.76*LOG(AI6)-0.352)</f>
        <v>3479.0622964938398</v>
      </c>
      <c r="AM6" s="28">
        <v>132732.28961416901</v>
      </c>
      <c r="AN6" s="20">
        <v>41106.169075895697</v>
      </c>
      <c r="AO6" s="22">
        <v>0.30969230769230799</v>
      </c>
      <c r="AP6" s="29">
        <v>3479.0622964938402</v>
      </c>
      <c r="AQ6" s="30">
        <f>MEDIAN(AD6,AL6)</f>
        <v>2007.1975176031719</v>
      </c>
      <c r="AR6" s="31">
        <v>10</v>
      </c>
      <c r="AS6" s="32"/>
      <c r="AT6" s="32"/>
      <c r="AU6" s="32"/>
      <c r="AV6" s="32"/>
      <c r="AW6" s="33"/>
      <c r="AX6" s="58"/>
      <c r="AY6" s="35" t="s">
        <v>345</v>
      </c>
    </row>
    <row r="7" spans="1:56">
      <c r="A7">
        <v>4</v>
      </c>
      <c r="B7" t="str">
        <f t="shared" si="2"/>
        <v>Frag_island_Size</v>
      </c>
      <c r="C7" s="1" t="s">
        <v>63</v>
      </c>
      <c r="D7" s="9" t="s">
        <v>59</v>
      </c>
      <c r="E7" s="9"/>
      <c r="F7" s="24" t="s">
        <v>436</v>
      </c>
      <c r="G7" s="64">
        <f t="shared" si="0"/>
        <v>13</v>
      </c>
      <c r="H7" s="64">
        <f t="shared" si="3"/>
        <v>120</v>
      </c>
      <c r="I7" s="21">
        <f t="shared" si="4"/>
        <v>2.7993833676129363</v>
      </c>
      <c r="J7" s="21">
        <f t="shared" si="5"/>
        <v>8.2548181222365642</v>
      </c>
      <c r="K7" s="21">
        <f t="shared" si="6"/>
        <v>1.487179487179487</v>
      </c>
      <c r="L7" s="106">
        <f t="shared" si="7"/>
        <v>0.81666666666666665</v>
      </c>
      <c r="M7" s="31">
        <v>13</v>
      </c>
      <c r="N7" s="32">
        <v>3</v>
      </c>
      <c r="O7" s="25">
        <v>3</v>
      </c>
      <c r="P7" s="24"/>
      <c r="Q7" s="24"/>
      <c r="R7" s="24"/>
      <c r="S7" s="24"/>
      <c r="T7" s="31">
        <v>120</v>
      </c>
      <c r="U7" s="32">
        <v>5</v>
      </c>
      <c r="V7" s="25">
        <v>5</v>
      </c>
      <c r="W7" s="24"/>
      <c r="X7" s="24"/>
      <c r="Y7" s="24"/>
      <c r="Z7" s="27"/>
      <c r="AA7" s="28">
        <f>(PI()/4)*M7*N7*O7</f>
        <v>91.89158511750145</v>
      </c>
      <c r="AB7" s="20">
        <f>PI()/2*(M7*N7+N7*O7+M7*O7)</f>
        <v>136.65928043115599</v>
      </c>
      <c r="AC7" s="22">
        <f>AB7/AA7</f>
        <v>1.487179487179487</v>
      </c>
      <c r="AD7" s="29">
        <f>10^(0.76*LOG(AA7)-0.352)</f>
        <v>13.80668971287731</v>
      </c>
      <c r="AE7" s="19">
        <v>91.891585117501407</v>
      </c>
      <c r="AF7" s="19">
        <v>136.65928043115599</v>
      </c>
      <c r="AG7" s="22">
        <v>1.4871794871794899</v>
      </c>
      <c r="AH7" s="19">
        <v>13.806689712877301</v>
      </c>
      <c r="AI7" s="28">
        <f>(PI()/4)*T7*U7*V7</f>
        <v>2356.1944901923448</v>
      </c>
      <c r="AJ7" s="20">
        <f>PI()/2*(T7*U7+U7*V7+T7*V7)</f>
        <v>1924.2255003237483</v>
      </c>
      <c r="AK7" s="22">
        <f>AJ7/AI7</f>
        <v>0.81666666666666665</v>
      </c>
      <c r="AL7" s="29">
        <f>10^(0.76*LOG(AI7)-0.352)</f>
        <v>162.51013961838038</v>
      </c>
      <c r="AM7" s="28">
        <v>2356.1944901923398</v>
      </c>
      <c r="AN7" s="20">
        <v>1924.2255003237501</v>
      </c>
      <c r="AO7" s="22">
        <v>0.81666666666666698</v>
      </c>
      <c r="AP7" s="29">
        <v>162.51013961838001</v>
      </c>
      <c r="AQ7" s="30">
        <f>MEDIAN(AD7,AL7)</f>
        <v>88.158414665628854</v>
      </c>
      <c r="AR7" s="31">
        <v>20</v>
      </c>
      <c r="AS7" s="32"/>
      <c r="AT7" s="32"/>
      <c r="AU7" s="32"/>
      <c r="AV7" s="32"/>
      <c r="AW7" s="33"/>
      <c r="AX7" s="34" t="s">
        <v>336</v>
      </c>
    </row>
    <row r="8" spans="1:56">
      <c r="A8">
        <v>5</v>
      </c>
      <c r="B8" t="str">
        <f t="shared" si="2"/>
        <v>Phae_antarc_Size</v>
      </c>
      <c r="C8" s="1" t="s">
        <v>64</v>
      </c>
      <c r="D8" s="9" t="s">
        <v>54</v>
      </c>
      <c r="E8" s="9"/>
      <c r="F8" s="26" t="s">
        <v>433</v>
      </c>
      <c r="G8" s="64">
        <f t="shared" si="0"/>
        <v>0</v>
      </c>
      <c r="H8" s="64">
        <f t="shared" si="3"/>
        <v>0</v>
      </c>
      <c r="I8" s="21">
        <f t="shared" si="4"/>
        <v>0</v>
      </c>
      <c r="J8" s="21">
        <f t="shared" si="5"/>
        <v>0</v>
      </c>
      <c r="K8" s="21">
        <f t="shared" si="6"/>
        <v>0</v>
      </c>
      <c r="L8" s="106">
        <f t="shared" si="7"/>
        <v>0</v>
      </c>
      <c r="M8" s="65"/>
      <c r="T8" s="65"/>
      <c r="Z8" s="70"/>
      <c r="AA8" s="65"/>
      <c r="AD8" s="70"/>
      <c r="AI8" s="65"/>
      <c r="AL8" s="70"/>
      <c r="AM8" s="65"/>
      <c r="AP8" s="70"/>
      <c r="AQ8" s="89"/>
      <c r="AR8" s="65"/>
    </row>
    <row r="9" spans="1:56">
      <c r="A9">
        <v>6</v>
      </c>
      <c r="B9" t="str">
        <f t="shared" si="2"/>
        <v>Frag_sp5_Size</v>
      </c>
      <c r="C9" s="1" t="s">
        <v>65</v>
      </c>
      <c r="D9" s="9" t="s">
        <v>55</v>
      </c>
      <c r="E9" s="9"/>
      <c r="F9" s="24" t="s">
        <v>436</v>
      </c>
      <c r="G9" s="64">
        <f t="shared" si="0"/>
        <v>4</v>
      </c>
      <c r="H9" s="64">
        <f t="shared" si="3"/>
        <v>20</v>
      </c>
      <c r="I9" s="21">
        <f t="shared" si="4"/>
        <v>1.7380133224432248</v>
      </c>
      <c r="J9" s="21">
        <f t="shared" si="5"/>
        <v>4.8274469230281483</v>
      </c>
      <c r="K9" s="21">
        <f t="shared" si="6"/>
        <v>2.0714285714285716</v>
      </c>
      <c r="L9" s="106">
        <f t="shared" si="7"/>
        <v>0.83333333333333326</v>
      </c>
      <c r="M9" s="26">
        <v>4</v>
      </c>
      <c r="N9" s="24">
        <v>3.5</v>
      </c>
      <c r="O9" s="43">
        <v>2</v>
      </c>
      <c r="P9" s="24"/>
      <c r="Q9" s="24"/>
      <c r="R9" s="24"/>
      <c r="S9" s="24"/>
      <c r="T9" s="26">
        <v>20</v>
      </c>
      <c r="U9" s="24">
        <v>5</v>
      </c>
      <c r="V9" s="43">
        <v>6</v>
      </c>
      <c r="W9" s="24"/>
      <c r="X9" s="24"/>
      <c r="Y9" s="24"/>
      <c r="Z9" s="27"/>
      <c r="AA9" s="28">
        <f>(PI()/4)*M9*N9*O9</f>
        <v>21.991148575128552</v>
      </c>
      <c r="AB9" s="20">
        <f>PI()/2*(M9*N9+N9*O9+M9*O9)</f>
        <v>45.553093477052002</v>
      </c>
      <c r="AC9" s="22">
        <f>AB9/AA9</f>
        <v>2.0714285714285716</v>
      </c>
      <c r="AD9" s="29">
        <f>10^(0.76*LOG(AA9)-0.352)</f>
        <v>4.6570233306664823</v>
      </c>
      <c r="AE9" s="19">
        <v>21.991148575128602</v>
      </c>
      <c r="AF9" s="19">
        <v>45.553093477052002</v>
      </c>
      <c r="AG9" s="22">
        <v>2.0714285714285698</v>
      </c>
      <c r="AH9" s="19">
        <v>4.6570233306664797</v>
      </c>
      <c r="AI9" s="28">
        <f>(PI()/4)*T9*U9*V9</f>
        <v>471.23889803846896</v>
      </c>
      <c r="AJ9" s="20">
        <f>PI()/2*(T9*U9+U9*V9+T9*V9)</f>
        <v>392.69908169872411</v>
      </c>
      <c r="AK9" s="22">
        <f>AJ9/AI9</f>
        <v>0.83333333333333326</v>
      </c>
      <c r="AL9" s="29">
        <f>10^(0.76*LOG(AI9)-0.352)</f>
        <v>47.825911969199737</v>
      </c>
      <c r="AM9" s="28">
        <v>471.23889803846902</v>
      </c>
      <c r="AN9" s="20">
        <v>392.699081698724</v>
      </c>
      <c r="AO9" s="22">
        <v>0.83333333333333304</v>
      </c>
      <c r="AP9" s="29">
        <v>47.825911969199701</v>
      </c>
      <c r="AQ9" s="30">
        <f>MEDIAN(AD9,AL9)</f>
        <v>26.24146764993311</v>
      </c>
      <c r="AR9" s="31">
        <v>6</v>
      </c>
      <c r="AS9" s="32">
        <v>54</v>
      </c>
      <c r="AT9" s="32"/>
      <c r="AU9" s="32"/>
      <c r="AV9" s="32"/>
      <c r="AW9" s="33"/>
      <c r="AX9" s="44"/>
      <c r="AY9" s="35" t="s">
        <v>337</v>
      </c>
    </row>
    <row r="10" spans="1:56">
      <c r="A10">
        <v>7</v>
      </c>
      <c r="B10" t="str">
        <f t="shared" si="2"/>
        <v>Lennox_fav_Size</v>
      </c>
      <c r="C10" s="1" t="s">
        <v>66</v>
      </c>
      <c r="D10" s="9" t="s">
        <v>56</v>
      </c>
      <c r="E10" s="9"/>
      <c r="F10" s="63" t="s">
        <v>380</v>
      </c>
      <c r="G10" s="64">
        <f t="shared" si="0"/>
        <v>0</v>
      </c>
      <c r="H10" s="64">
        <f t="shared" si="3"/>
        <v>0</v>
      </c>
      <c r="I10" s="21">
        <f t="shared" si="4"/>
        <v>0</v>
      </c>
      <c r="J10" s="21">
        <f t="shared" si="5"/>
        <v>0</v>
      </c>
      <c r="K10" s="21">
        <f t="shared" si="6"/>
        <v>0</v>
      </c>
      <c r="L10" s="106">
        <f t="shared" si="7"/>
        <v>0</v>
      </c>
      <c r="M10" s="65"/>
      <c r="T10" s="65"/>
      <c r="Z10" s="70"/>
      <c r="AA10" s="65"/>
      <c r="AD10" s="70"/>
      <c r="AI10" s="65"/>
      <c r="AL10" s="70"/>
      <c r="AM10" s="65"/>
      <c r="AP10" s="70"/>
      <c r="AQ10" s="89"/>
      <c r="AR10" s="65"/>
      <c r="AW10" s="70"/>
      <c r="AX10" s="89"/>
    </row>
    <row r="11" spans="1:56">
      <c r="A11">
        <v>8</v>
      </c>
      <c r="B11" t="str">
        <f t="shared" si="2"/>
        <v>Actino_curv_Size</v>
      </c>
      <c r="C11" s="1" t="s">
        <v>42</v>
      </c>
      <c r="D11" s="2" t="s">
        <v>14</v>
      </c>
      <c r="E11" s="2"/>
      <c r="F11" s="26" t="s">
        <v>434</v>
      </c>
      <c r="G11" s="64">
        <f t="shared" si="0"/>
        <v>40</v>
      </c>
      <c r="H11" s="64">
        <f t="shared" si="3"/>
        <v>160</v>
      </c>
      <c r="I11" s="21">
        <f t="shared" si="4"/>
        <v>15.740609166314428</v>
      </c>
      <c r="J11" s="21">
        <f t="shared" si="5"/>
        <v>63.363482106353416</v>
      </c>
      <c r="K11" s="21">
        <f t="shared" si="6"/>
        <v>0.25384615384615383</v>
      </c>
      <c r="L11" s="106">
        <f t="shared" si="7"/>
        <v>6.2735849056603774E-2</v>
      </c>
      <c r="M11" s="23">
        <v>40</v>
      </c>
      <c r="N11" s="24"/>
      <c r="O11" s="25">
        <v>13</v>
      </c>
      <c r="P11" s="24"/>
      <c r="Q11" s="24"/>
      <c r="R11" s="24"/>
      <c r="S11" s="24"/>
      <c r="T11" s="26">
        <v>160</v>
      </c>
      <c r="U11" s="24"/>
      <c r="V11" s="25">
        <v>53</v>
      </c>
      <c r="W11" s="24"/>
      <c r="X11" s="24"/>
      <c r="Y11" s="24"/>
      <c r="Z11" s="27"/>
      <c r="AA11" s="28">
        <f>(PI()/4)*M11^2*O11</f>
        <v>16336.281798666925</v>
      </c>
      <c r="AB11" s="20">
        <f>PI()*M11*((M11/2)+O11)</f>
        <v>4146.9023027385265</v>
      </c>
      <c r="AC11" s="22">
        <f>AB11/AA11</f>
        <v>0.25384615384615383</v>
      </c>
      <c r="AD11" s="29">
        <f>10^(0.76*LOG(AA11)-0.352)</f>
        <v>707.93998842135261</v>
      </c>
      <c r="AE11" s="19">
        <v>16336.2817986669</v>
      </c>
      <c r="AF11" s="19">
        <v>4146.9023027385301</v>
      </c>
      <c r="AG11" s="22">
        <v>0.253846153846154</v>
      </c>
      <c r="AH11" s="19">
        <v>707.93998842135295</v>
      </c>
      <c r="AI11" s="28">
        <f>(PI()/4)*T11^2*V11</f>
        <v>1065628.2280976579</v>
      </c>
      <c r="AJ11" s="20">
        <f>PI()*T11*((T11/2)+V11)</f>
        <v>66853.0916683908</v>
      </c>
      <c r="AK11" s="22">
        <f>AJ11/AI11</f>
        <v>6.2735849056603774E-2</v>
      </c>
      <c r="AL11" s="29">
        <f>10^(0.76*LOG(AI11)-0.352)</f>
        <v>16942.611185610614</v>
      </c>
      <c r="AM11" s="28">
        <v>1065628.22809766</v>
      </c>
      <c r="AN11" s="20">
        <v>66853.0916683908</v>
      </c>
      <c r="AO11" s="22">
        <v>6.2735849056603801E-2</v>
      </c>
      <c r="AP11" s="29">
        <v>16942.6111856106</v>
      </c>
      <c r="AQ11" s="30">
        <f>MEDIAN(AD11,AL11)</f>
        <v>8825.2755870159835</v>
      </c>
      <c r="AR11" s="31">
        <v>54</v>
      </c>
      <c r="AS11" s="32"/>
      <c r="AT11" s="32"/>
      <c r="AU11" s="32"/>
      <c r="AV11" s="32"/>
      <c r="AW11" s="33"/>
      <c r="AX11" s="34" t="s">
        <v>317</v>
      </c>
      <c r="AY11" s="35" t="s">
        <v>318</v>
      </c>
    </row>
    <row r="12" spans="1:56">
      <c r="A12">
        <v>9</v>
      </c>
      <c r="B12" t="str">
        <f t="shared" si="2"/>
        <v>Astero_hept_Size</v>
      </c>
      <c r="C12" s="1" t="s">
        <v>43</v>
      </c>
      <c r="D12" s="2" t="s">
        <v>15</v>
      </c>
      <c r="E12" s="2" t="s">
        <v>326</v>
      </c>
      <c r="F12" s="26" t="s">
        <v>434</v>
      </c>
      <c r="G12" s="64">
        <f t="shared" si="0"/>
        <v>42</v>
      </c>
      <c r="H12" s="64">
        <f t="shared" si="3"/>
        <v>175</v>
      </c>
      <c r="I12" s="21">
        <f t="shared" si="4"/>
        <v>16.667711045666092</v>
      </c>
      <c r="J12" s="21">
        <f t="shared" si="5"/>
        <v>69.316259831230624</v>
      </c>
      <c r="K12" s="21">
        <f t="shared" si="6"/>
        <v>0.23809523809523811</v>
      </c>
      <c r="L12" s="106">
        <f t="shared" si="7"/>
        <v>5.7339901477832508E-2</v>
      </c>
      <c r="M12" s="26">
        <v>42</v>
      </c>
      <c r="N12" s="24"/>
      <c r="O12" s="40">
        <v>14</v>
      </c>
      <c r="P12" s="41"/>
      <c r="Q12" s="24"/>
      <c r="R12" s="24"/>
      <c r="S12" s="24"/>
      <c r="T12" s="26">
        <v>175</v>
      </c>
      <c r="U12" s="24"/>
      <c r="V12" s="40">
        <v>58</v>
      </c>
      <c r="W12" s="24"/>
      <c r="X12" s="24"/>
      <c r="Y12" s="24"/>
      <c r="Z12" s="27"/>
      <c r="AA12" s="28">
        <v>19396.193043263382</v>
      </c>
      <c r="AB12" s="20">
        <v>4618.1412007769959</v>
      </c>
      <c r="AC12" s="22">
        <v>0.23809523809523811</v>
      </c>
      <c r="AD12" s="29">
        <v>806.61173927695324</v>
      </c>
      <c r="AE12" s="19">
        <v>19396.1930432634</v>
      </c>
      <c r="AF12" s="19">
        <v>4618.1412007770004</v>
      </c>
      <c r="AG12" s="22">
        <v>0.238095238095238</v>
      </c>
      <c r="AH12" s="19">
        <v>806.61173927695302</v>
      </c>
      <c r="AI12" s="28">
        <v>1395063.4877347175</v>
      </c>
      <c r="AJ12" s="20">
        <v>79992.802942030103</v>
      </c>
      <c r="AK12" s="22">
        <v>5.7339901477832508E-2</v>
      </c>
      <c r="AL12" s="29">
        <v>20791.767923449181</v>
      </c>
      <c r="AM12" s="28">
        <v>1395063.4877347201</v>
      </c>
      <c r="AN12" s="20">
        <v>79992.802942030103</v>
      </c>
      <c r="AO12" s="22">
        <v>5.7339901477832501E-2</v>
      </c>
      <c r="AP12" s="29">
        <v>20791.767923449199</v>
      </c>
      <c r="AQ12" s="30">
        <v>10799.189831363068</v>
      </c>
      <c r="AR12" s="31">
        <v>54</v>
      </c>
      <c r="AS12" s="32"/>
      <c r="AT12" s="32"/>
      <c r="AU12" s="32"/>
      <c r="AV12" s="32"/>
      <c r="AW12" s="33"/>
      <c r="AX12" s="34" t="s">
        <v>317</v>
      </c>
      <c r="AY12" s="35" t="s">
        <v>323</v>
      </c>
    </row>
    <row r="13" spans="1:56">
      <c r="A13">
        <v>10</v>
      </c>
      <c r="B13" t="str">
        <f t="shared" si="2"/>
        <v>Astero_robust_Size</v>
      </c>
      <c r="C13" s="1" t="s">
        <v>44</v>
      </c>
      <c r="D13" s="15" t="s">
        <v>16</v>
      </c>
      <c r="E13" s="15"/>
      <c r="F13" s="26" t="s">
        <v>434</v>
      </c>
      <c r="G13" s="64">
        <f t="shared" si="0"/>
        <v>25</v>
      </c>
      <c r="H13" s="64">
        <f t="shared" si="3"/>
        <v>50</v>
      </c>
      <c r="I13" s="21">
        <f t="shared" si="4"/>
        <v>9.7871691029221584</v>
      </c>
      <c r="J13" s="21">
        <f t="shared" si="5"/>
        <v>19.973924351135036</v>
      </c>
      <c r="K13" s="21">
        <f t="shared" si="6"/>
        <v>0.41000000000000003</v>
      </c>
      <c r="L13" s="106">
        <f t="shared" si="7"/>
        <v>0.19764705882352943</v>
      </c>
      <c r="M13" s="26">
        <v>25</v>
      </c>
      <c r="N13" s="24"/>
      <c r="O13" s="42">
        <v>8</v>
      </c>
      <c r="P13" s="41"/>
      <c r="Q13" s="24"/>
      <c r="R13" s="24"/>
      <c r="S13" s="24"/>
      <c r="T13" s="26">
        <v>50</v>
      </c>
      <c r="U13" s="24"/>
      <c r="V13" s="42">
        <v>17</v>
      </c>
      <c r="W13" s="24"/>
      <c r="X13" s="24"/>
      <c r="Y13" s="24"/>
      <c r="Z13" s="27"/>
      <c r="AA13" s="28">
        <v>3926.9908169872415</v>
      </c>
      <c r="AB13" s="20">
        <v>1610.0662349647691</v>
      </c>
      <c r="AC13" s="22">
        <v>0.41000000000000003</v>
      </c>
      <c r="AD13" s="29">
        <v>239.5992824698931</v>
      </c>
      <c r="AE13" s="19">
        <v>3926.9908169872401</v>
      </c>
      <c r="AF13" s="19">
        <v>1610.06623496477</v>
      </c>
      <c r="AG13" s="22">
        <v>0.41</v>
      </c>
      <c r="AH13" s="19">
        <v>239.59928246989301</v>
      </c>
      <c r="AI13" s="28">
        <v>33379.42194439155</v>
      </c>
      <c r="AJ13" s="20">
        <v>6597.3445725385654</v>
      </c>
      <c r="AK13" s="22">
        <v>0.19764705882352943</v>
      </c>
      <c r="AL13" s="29">
        <v>1218.5515225942559</v>
      </c>
      <c r="AM13" s="28">
        <v>33379.421944391499</v>
      </c>
      <c r="AN13" s="20">
        <v>6597.34457253857</v>
      </c>
      <c r="AO13" s="22">
        <v>0.19764705882352901</v>
      </c>
      <c r="AP13" s="29">
        <v>1218.5515225942599</v>
      </c>
      <c r="AQ13" s="30">
        <v>729.07540253207446</v>
      </c>
      <c r="AR13" s="31">
        <v>20</v>
      </c>
      <c r="AS13" s="32"/>
      <c r="AT13" s="32"/>
      <c r="AU13" s="32"/>
      <c r="AV13" s="32"/>
      <c r="AW13" s="32"/>
      <c r="AX13" s="94" t="s">
        <v>317</v>
      </c>
      <c r="AY13" s="35" t="s">
        <v>324</v>
      </c>
    </row>
    <row r="14" spans="1:56">
      <c r="A14">
        <v>11</v>
      </c>
      <c r="B14" t="str">
        <f t="shared" si="2"/>
        <v>Coscino_marg_Size</v>
      </c>
      <c r="C14" s="1" t="s">
        <v>45</v>
      </c>
      <c r="D14" s="2" t="s">
        <v>17</v>
      </c>
      <c r="E14" s="2"/>
      <c r="F14" s="26" t="s">
        <v>434</v>
      </c>
      <c r="G14" s="64">
        <f t="shared" si="0"/>
        <v>35</v>
      </c>
      <c r="H14" s="64">
        <f t="shared" si="3"/>
        <v>200</v>
      </c>
      <c r="I14" s="21">
        <f t="shared" si="4"/>
        <v>19.64347748629709</v>
      </c>
      <c r="J14" s="21">
        <f t="shared" si="5"/>
        <v>62.785370347878271</v>
      </c>
      <c r="K14" s="21">
        <f t="shared" si="6"/>
        <v>0.17</v>
      </c>
      <c r="L14" s="106">
        <f t="shared" si="7"/>
        <v>0.08</v>
      </c>
      <c r="M14" s="47">
        <v>35</v>
      </c>
      <c r="N14" s="48"/>
      <c r="O14" s="49">
        <v>33</v>
      </c>
      <c r="P14" s="48"/>
      <c r="Q14" s="48"/>
      <c r="R14" s="48"/>
      <c r="S14" s="48"/>
      <c r="T14" s="47">
        <v>200</v>
      </c>
      <c r="U14" s="48"/>
      <c r="V14" s="49">
        <v>33</v>
      </c>
      <c r="W14" s="48"/>
      <c r="X14" s="48"/>
      <c r="Y14" s="48"/>
      <c r="Z14" s="50"/>
      <c r="AA14" s="28">
        <v>31750</v>
      </c>
      <c r="AB14" s="20">
        <v>5553</v>
      </c>
      <c r="AC14" s="51">
        <v>0.17</v>
      </c>
      <c r="AD14" s="52">
        <v>1173</v>
      </c>
      <c r="AE14" s="53">
        <v>31750</v>
      </c>
      <c r="AF14" s="53">
        <v>5553</v>
      </c>
      <c r="AG14" s="51">
        <v>0.17</v>
      </c>
      <c r="AH14" s="53">
        <v>1173</v>
      </c>
      <c r="AI14" s="28">
        <v>1036726</v>
      </c>
      <c r="AJ14" s="20">
        <v>83566</v>
      </c>
      <c r="AK14" s="51">
        <v>0.08</v>
      </c>
      <c r="AL14" s="52">
        <v>16592</v>
      </c>
      <c r="AM14" s="28">
        <v>1036726</v>
      </c>
      <c r="AN14" s="20">
        <v>83566</v>
      </c>
      <c r="AO14" s="51">
        <v>0.08</v>
      </c>
      <c r="AP14" s="52">
        <v>16592</v>
      </c>
      <c r="AQ14" s="91">
        <v>8883</v>
      </c>
      <c r="AR14" s="31">
        <v>54</v>
      </c>
    </row>
    <row r="15" spans="1:56">
      <c r="A15">
        <v>12</v>
      </c>
      <c r="B15" t="str">
        <f t="shared" si="2"/>
        <v>Coscino_oculus_Size</v>
      </c>
      <c r="C15" s="1" t="s">
        <v>46</v>
      </c>
      <c r="D15" s="2" t="s">
        <v>18</v>
      </c>
      <c r="E15" s="2"/>
      <c r="F15" s="26" t="s">
        <v>434</v>
      </c>
      <c r="G15" s="64">
        <f t="shared" si="0"/>
        <v>100</v>
      </c>
      <c r="H15" s="64">
        <f t="shared" si="3"/>
        <v>300</v>
      </c>
      <c r="I15" s="21">
        <f t="shared" si="4"/>
        <v>45.428011670459888</v>
      </c>
      <c r="J15" s="21">
        <f t="shared" si="5"/>
        <v>136.2840435803796</v>
      </c>
      <c r="K15" s="21">
        <f t="shared" si="6"/>
        <v>0.08</v>
      </c>
      <c r="L15" s="106">
        <f t="shared" si="7"/>
        <v>0.03</v>
      </c>
      <c r="M15" s="47">
        <v>100</v>
      </c>
      <c r="N15" s="48"/>
      <c r="O15" s="54">
        <v>50</v>
      </c>
      <c r="P15" s="48"/>
      <c r="Q15" s="48"/>
      <c r="R15" s="48"/>
      <c r="S15" s="48"/>
      <c r="T15" s="47">
        <v>300</v>
      </c>
      <c r="U15" s="48"/>
      <c r="V15" s="54">
        <v>150</v>
      </c>
      <c r="W15" s="48"/>
      <c r="X15" s="48"/>
      <c r="Y15" s="48"/>
      <c r="Z15" s="50"/>
      <c r="AA15" s="28">
        <v>392699</v>
      </c>
      <c r="AB15" s="20">
        <v>31416</v>
      </c>
      <c r="AC15" s="51">
        <v>0.08</v>
      </c>
      <c r="AD15" s="52">
        <v>7934</v>
      </c>
      <c r="AE15" s="53">
        <v>392699</v>
      </c>
      <c r="AF15" s="53">
        <v>31416</v>
      </c>
      <c r="AG15" s="51">
        <v>0.08</v>
      </c>
      <c r="AH15" s="53">
        <v>7934</v>
      </c>
      <c r="AI15" s="28">
        <v>10602875</v>
      </c>
      <c r="AJ15" s="20">
        <v>282743</v>
      </c>
      <c r="AK15" s="51">
        <v>0.03</v>
      </c>
      <c r="AL15" s="52">
        <v>97123</v>
      </c>
      <c r="AM15" s="28">
        <v>10602875</v>
      </c>
      <c r="AN15" s="20">
        <v>282743</v>
      </c>
      <c r="AO15" s="51">
        <v>0.03</v>
      </c>
      <c r="AP15" s="52">
        <v>97123</v>
      </c>
      <c r="AQ15" s="91">
        <v>52528</v>
      </c>
      <c r="AR15" s="31">
        <v>8</v>
      </c>
      <c r="AW15" s="70"/>
      <c r="AX15" s="89"/>
    </row>
    <row r="16" spans="1:56">
      <c r="A16">
        <v>13</v>
      </c>
      <c r="B16" t="str">
        <f t="shared" si="2"/>
        <v>Coscino_spp20_Size</v>
      </c>
      <c r="C16" s="1" t="s">
        <v>47</v>
      </c>
      <c r="D16" s="2" t="s">
        <v>19</v>
      </c>
      <c r="E16" s="2"/>
      <c r="F16" s="26" t="s">
        <v>434</v>
      </c>
      <c r="G16" s="64">
        <f t="shared" si="0"/>
        <v>15</v>
      </c>
      <c r="H16" s="64">
        <f t="shared" si="3"/>
        <v>500</v>
      </c>
      <c r="I16" s="21">
        <f t="shared" si="4"/>
        <v>6.6592800130695053</v>
      </c>
      <c r="J16" s="21">
        <f t="shared" si="5"/>
        <v>286.17856063833295</v>
      </c>
      <c r="K16" s="21">
        <f t="shared" si="6"/>
        <v>0.55238095238095231</v>
      </c>
      <c r="L16" s="106">
        <f t="shared" si="7"/>
        <v>1.2E-2</v>
      </c>
      <c r="M16" s="26">
        <v>15</v>
      </c>
      <c r="N16" s="24"/>
      <c r="O16" s="42">
        <v>7</v>
      </c>
      <c r="P16" s="24"/>
      <c r="Q16" s="24"/>
      <c r="R16" s="24"/>
      <c r="S16" s="24"/>
      <c r="T16" s="26">
        <v>500</v>
      </c>
      <c r="U16" s="24"/>
      <c r="V16" s="24">
        <v>500</v>
      </c>
      <c r="W16" s="24"/>
      <c r="X16" s="24"/>
      <c r="Y16" s="24"/>
      <c r="Z16" s="27"/>
      <c r="AA16" s="20">
        <f>(PI()/4)*M16^2*O16</f>
        <v>1237.0021073509811</v>
      </c>
      <c r="AB16" s="20">
        <f>PI()*M16*((M16/2)+O16)</f>
        <v>683.2964021557799</v>
      </c>
      <c r="AC16" s="22">
        <f>AB16/AA16</f>
        <v>0.55238095238095231</v>
      </c>
      <c r="AD16" s="29">
        <f>10^(0.76*LOG(AA16)-0.352)</f>
        <v>99.5867441647585</v>
      </c>
      <c r="AE16" s="19">
        <v>1237.0021073509799</v>
      </c>
      <c r="AF16" s="19">
        <v>683.29640215578002</v>
      </c>
      <c r="AG16" s="22">
        <v>0.55238095238095197</v>
      </c>
      <c r="AH16" s="19">
        <v>99.5867441647585</v>
      </c>
      <c r="AI16" s="28">
        <f>(PI()/4)*T16^2*V16</f>
        <v>98174770.424681038</v>
      </c>
      <c r="AJ16" s="20">
        <f>PI()*T16*((T16/2)+V16)</f>
        <v>1178097.2450961724</v>
      </c>
      <c r="AK16" s="22">
        <f>AJ16/AI16</f>
        <v>1.2E-2</v>
      </c>
      <c r="AL16" s="29">
        <f>10^(0.76*LOG(AI16)-0.352)</f>
        <v>527132.65360180463</v>
      </c>
      <c r="AM16" s="20">
        <v>98174770.424680993</v>
      </c>
      <c r="AN16" s="20">
        <v>1178097.2450961701</v>
      </c>
      <c r="AO16" s="22">
        <v>1.2E-2</v>
      </c>
      <c r="AP16" s="29">
        <v>527132.65360180498</v>
      </c>
      <c r="AQ16" s="29">
        <f>MEDIAN(AD16,AL16)</f>
        <v>263616.12017298467</v>
      </c>
    </row>
    <row r="17" spans="1:51">
      <c r="A17">
        <v>14</v>
      </c>
      <c r="B17" t="str">
        <f t="shared" si="2"/>
        <v>Podo_elegans_Size</v>
      </c>
      <c r="C17" s="1" t="s">
        <v>48</v>
      </c>
      <c r="D17" s="2" t="s">
        <v>20</v>
      </c>
      <c r="E17" s="57" t="s">
        <v>344</v>
      </c>
      <c r="F17" s="26" t="s">
        <v>435</v>
      </c>
      <c r="G17" s="64">
        <f t="shared" si="0"/>
        <v>12</v>
      </c>
      <c r="H17" s="64">
        <f t="shared" si="3"/>
        <v>130</v>
      </c>
      <c r="I17" s="21">
        <f t="shared" si="4"/>
        <v>5.4569644153055279</v>
      </c>
      <c r="J17" s="21">
        <f t="shared" si="5"/>
        <v>56.592559798147512</v>
      </c>
      <c r="K17" s="21">
        <f t="shared" si="6"/>
        <v>0.55384615384615377</v>
      </c>
      <c r="L17" s="106">
        <f t="shared" si="7"/>
        <v>5.3793103448275863E-2</v>
      </c>
      <c r="M17" s="26">
        <v>12</v>
      </c>
      <c r="N17" s="24">
        <v>10</v>
      </c>
      <c r="O17" s="24"/>
      <c r="P17" s="24"/>
      <c r="Q17" s="24"/>
      <c r="R17" s="24"/>
      <c r="S17" s="24"/>
      <c r="T17" s="26">
        <v>130</v>
      </c>
      <c r="U17" s="24">
        <v>100</v>
      </c>
      <c r="V17" s="24"/>
      <c r="W17" s="24"/>
      <c r="X17" s="24"/>
      <c r="Y17" s="24"/>
      <c r="Z17" s="27"/>
      <c r="AA17" s="20">
        <f>PI()*N17^2*((M17/4)-(N17/12))</f>
        <v>680.67840827778855</v>
      </c>
      <c r="AB17" s="20">
        <f>PI()*M17*N17</f>
        <v>376.99111843077515</v>
      </c>
      <c r="AC17" s="22">
        <f>AB17/AA17</f>
        <v>0.55384615384615377</v>
      </c>
      <c r="AD17" s="29">
        <f>10^(0.76*LOG(AA17)-0.352)</f>
        <v>63.246413150717039</v>
      </c>
      <c r="AE17" s="19">
        <v>680.678408277789</v>
      </c>
      <c r="AF17" s="19">
        <v>376.99111843077497</v>
      </c>
      <c r="AG17" s="22">
        <v>0.55384615384615399</v>
      </c>
      <c r="AH17" s="19">
        <v>63.246413150716997</v>
      </c>
      <c r="AI17" s="28">
        <f>PI()*U17^2*((T17/4)-(U17/12))</f>
        <v>759218.22461753327</v>
      </c>
      <c r="AJ17" s="20">
        <f>PI()*T17*U17</f>
        <v>40840.704496667306</v>
      </c>
      <c r="AK17" s="22">
        <f>AJ17/AI17</f>
        <v>5.3793103448275863E-2</v>
      </c>
      <c r="AL17" s="29">
        <f>10^(0.76*LOG(AI17)-0.352)</f>
        <v>13094.189888454344</v>
      </c>
      <c r="AM17" s="20">
        <v>759218.22461753304</v>
      </c>
      <c r="AN17" s="20">
        <v>40840.704496667298</v>
      </c>
      <c r="AO17" s="22">
        <v>5.3793103448275897E-2</v>
      </c>
      <c r="AP17" s="29">
        <v>13094.189888454301</v>
      </c>
      <c r="AQ17" s="29">
        <f>MEDIAN(AD17,AL17)</f>
        <v>6578.7181508025305</v>
      </c>
      <c r="AR17" s="32">
        <v>24</v>
      </c>
      <c r="AS17" s="32"/>
      <c r="AT17" s="32"/>
      <c r="AU17" s="32"/>
      <c r="AV17" s="32"/>
      <c r="AW17" s="32"/>
      <c r="AX17" s="95"/>
      <c r="AY17" s="35" t="s">
        <v>343</v>
      </c>
    </row>
    <row r="18" spans="1:51">
      <c r="A18">
        <v>15</v>
      </c>
      <c r="B18" t="str">
        <f t="shared" si="2"/>
        <v>Thalas_trif_Size</v>
      </c>
      <c r="C18" s="1" t="s">
        <v>49</v>
      </c>
      <c r="D18" s="2" t="s">
        <v>21</v>
      </c>
      <c r="E18" s="2"/>
      <c r="F18" s="26" t="s">
        <v>434</v>
      </c>
      <c r="G18" s="64">
        <f t="shared" si="0"/>
        <v>16</v>
      </c>
      <c r="H18" s="64">
        <f t="shared" si="3"/>
        <v>58</v>
      </c>
      <c r="I18" s="21">
        <f t="shared" si="4"/>
        <v>6.2144650119077163</v>
      </c>
      <c r="J18" s="21">
        <f t="shared" si="5"/>
        <v>16.405334869590462</v>
      </c>
      <c r="K18" s="21">
        <f t="shared" si="6"/>
        <v>0.65</v>
      </c>
      <c r="L18" s="106">
        <f t="shared" si="7"/>
        <v>0.35467980295566504</v>
      </c>
      <c r="M18" s="26">
        <v>16</v>
      </c>
      <c r="O18" s="42">
        <v>5</v>
      </c>
      <c r="T18" s="26">
        <v>58</v>
      </c>
      <c r="V18" s="42">
        <v>7</v>
      </c>
      <c r="Z18" s="70"/>
      <c r="AA18" s="28">
        <v>1005.3096491487338</v>
      </c>
      <c r="AB18" s="20">
        <v>653.45127194667702</v>
      </c>
      <c r="AC18" s="21">
        <v>0.65</v>
      </c>
      <c r="AD18" s="29">
        <v>85.064408560491415</v>
      </c>
      <c r="AE18" s="19">
        <v>33448.5369827705</v>
      </c>
      <c r="AF18" s="19">
        <v>5819.8003907750899</v>
      </c>
      <c r="AG18" s="22">
        <v>0.17399267399267401</v>
      </c>
      <c r="AH18" s="19">
        <v>1220.46861656136</v>
      </c>
      <c r="AI18" s="28">
        <v>18494.555951683113</v>
      </c>
      <c r="AJ18" s="20">
        <v>6559.6454606954885</v>
      </c>
      <c r="AK18" s="21">
        <v>0.35467980295566504</v>
      </c>
      <c r="AL18" s="29">
        <v>777.95301892807856</v>
      </c>
      <c r="AM18" s="28">
        <v>39607.629380133301</v>
      </c>
      <c r="AN18" s="20">
        <v>6504.6675892576704</v>
      </c>
      <c r="AO18" s="21">
        <v>0.164227642276423</v>
      </c>
      <c r="AP18" s="29">
        <v>1387.75220367109</v>
      </c>
      <c r="AQ18" s="30">
        <v>431.50871374428499</v>
      </c>
    </row>
    <row r="19" spans="1:51">
      <c r="A19">
        <v>16</v>
      </c>
      <c r="B19" t="str">
        <f t="shared" si="2"/>
        <v>Nitz_spp_Size</v>
      </c>
      <c r="C19" s="1" t="s">
        <v>50</v>
      </c>
      <c r="D19" s="2" t="s">
        <v>22</v>
      </c>
      <c r="E19" s="2"/>
      <c r="F19" s="26" t="s">
        <v>438</v>
      </c>
      <c r="G19" s="64">
        <f t="shared" si="0"/>
        <v>6</v>
      </c>
      <c r="H19" s="64">
        <f t="shared" si="3"/>
        <v>419</v>
      </c>
      <c r="I19" s="21">
        <f t="shared" si="4"/>
        <v>1.172388962695158</v>
      </c>
      <c r="J19" s="21">
        <f t="shared" si="5"/>
        <v>47.641310845320049</v>
      </c>
      <c r="K19" s="21">
        <f t="shared" si="6"/>
        <v>1.6769254688014716</v>
      </c>
      <c r="L19" s="106">
        <f t="shared" si="7"/>
        <v>5.3488064807594903E-2</v>
      </c>
      <c r="M19" s="55">
        <v>6</v>
      </c>
      <c r="N19" s="43">
        <v>1.5</v>
      </c>
      <c r="O19" s="43">
        <v>1.5</v>
      </c>
      <c r="P19" s="43"/>
      <c r="Q19" s="43"/>
      <c r="R19" s="43"/>
      <c r="S19" s="43"/>
      <c r="T19" s="55">
        <v>419</v>
      </c>
      <c r="U19" s="43">
        <v>46</v>
      </c>
      <c r="V19" s="43">
        <v>47</v>
      </c>
      <c r="W19" s="24"/>
      <c r="X19" s="24"/>
      <c r="Y19" s="24"/>
      <c r="Z19" s="27"/>
      <c r="AA19" s="28">
        <v>6.75</v>
      </c>
      <c r="AB19" s="20">
        <v>11.319246914409934</v>
      </c>
      <c r="AC19" s="22">
        <v>1.6769254688014716</v>
      </c>
      <c r="AD19" s="29">
        <v>1.8978892564313634</v>
      </c>
      <c r="AE19" s="19">
        <v>6.75</v>
      </c>
      <c r="AF19" s="19">
        <v>11.3192469144099</v>
      </c>
      <c r="AG19" s="22">
        <v>1.6769254688014701</v>
      </c>
      <c r="AH19" s="19">
        <v>1.8978892564313601</v>
      </c>
      <c r="AI19" s="28">
        <v>452939</v>
      </c>
      <c r="AJ19" s="20">
        <v>24226.830585887226</v>
      </c>
      <c r="AK19" s="22">
        <v>5.3488064807594903E-2</v>
      </c>
      <c r="AL19" s="29">
        <v>8842.8077838937243</v>
      </c>
      <c r="AM19" s="28">
        <v>452939</v>
      </c>
      <c r="AN19" s="20">
        <v>24226.830585887201</v>
      </c>
      <c r="AO19" s="22">
        <v>5.3488064807594903E-2</v>
      </c>
      <c r="AP19" s="29">
        <v>8842.8077838937206</v>
      </c>
      <c r="AQ19" s="30">
        <v>4422.3528365750772</v>
      </c>
      <c r="AR19" s="31">
        <v>15</v>
      </c>
      <c r="AW19" s="70"/>
      <c r="AX19" s="89"/>
    </row>
    <row r="20" spans="1:51">
      <c r="A20">
        <v>17</v>
      </c>
      <c r="B20" t="str">
        <f t="shared" si="2"/>
        <v>Thala_antarc_Size</v>
      </c>
      <c r="C20" s="1" t="s">
        <v>38</v>
      </c>
      <c r="D20" s="2" t="s">
        <v>7</v>
      </c>
      <c r="E20" s="2"/>
      <c r="F20" s="26" t="s">
        <v>434</v>
      </c>
      <c r="G20" s="64">
        <f t="shared" si="0"/>
        <v>14</v>
      </c>
      <c r="H20" s="64">
        <f t="shared" si="3"/>
        <v>15</v>
      </c>
      <c r="I20" s="21">
        <f t="shared" si="4"/>
        <v>7.611662611020245</v>
      </c>
      <c r="J20" s="21">
        <f t="shared" si="5"/>
        <v>8.1994149890003403</v>
      </c>
      <c r="K20" s="21">
        <f t="shared" si="6"/>
        <v>0.45238095238095244</v>
      </c>
      <c r="L20" s="106">
        <f t="shared" si="7"/>
        <v>0.41904761904761906</v>
      </c>
      <c r="M20" s="26">
        <v>14</v>
      </c>
      <c r="N20" s="24"/>
      <c r="O20" s="43">
        <v>12</v>
      </c>
      <c r="P20" s="61"/>
      <c r="Q20" s="24"/>
      <c r="R20" s="24"/>
      <c r="S20" s="24"/>
      <c r="T20" s="23">
        <v>14</v>
      </c>
      <c r="U20" s="24"/>
      <c r="V20" s="43">
        <v>15</v>
      </c>
      <c r="W20" s="61"/>
      <c r="X20" s="24"/>
      <c r="Y20" s="24"/>
      <c r="Z20" s="27"/>
      <c r="AA20" s="28">
        <v>1847.2564803107982</v>
      </c>
      <c r="AB20" s="20">
        <v>835.66364585488498</v>
      </c>
      <c r="AC20" s="22">
        <v>0.45238095238095244</v>
      </c>
      <c r="AD20" s="29">
        <v>135.07055086276705</v>
      </c>
      <c r="AE20" s="19">
        <v>1847.2564803108</v>
      </c>
      <c r="AF20" s="19">
        <v>835.66364585488498</v>
      </c>
      <c r="AG20" s="22">
        <v>0.452380952380952</v>
      </c>
      <c r="AH20" s="19">
        <v>135.07055086276699</v>
      </c>
      <c r="AI20" s="28">
        <v>2309.070600388498</v>
      </c>
      <c r="AJ20" s="20">
        <v>967.61053730565629</v>
      </c>
      <c r="AK20" s="22">
        <v>0.41904761904761906</v>
      </c>
      <c r="AL20" s="29">
        <v>160.03400756232634</v>
      </c>
      <c r="AM20" s="28">
        <v>2309.0706003885002</v>
      </c>
      <c r="AN20" s="20">
        <v>967.61053730565595</v>
      </c>
      <c r="AO20" s="22">
        <v>0.419047619047619</v>
      </c>
      <c r="AP20" s="29">
        <v>160.034007562326</v>
      </c>
      <c r="AQ20" s="30">
        <v>147.55227921254669</v>
      </c>
      <c r="AR20" s="31">
        <v>54</v>
      </c>
      <c r="AS20" s="32"/>
      <c r="AT20" s="32"/>
      <c r="AU20" s="32"/>
      <c r="AV20" s="32"/>
      <c r="AW20" s="32"/>
      <c r="AX20" s="95"/>
      <c r="AY20" s="35" t="s">
        <v>349</v>
      </c>
    </row>
    <row r="21" spans="1:51">
      <c r="A21">
        <v>18</v>
      </c>
      <c r="B21" t="str">
        <f t="shared" si="2"/>
        <v>Thala_grav_Size</v>
      </c>
      <c r="C21" s="1" t="s">
        <v>39</v>
      </c>
      <c r="D21" s="2" t="s">
        <v>8</v>
      </c>
      <c r="E21" s="2"/>
      <c r="F21" s="26" t="s">
        <v>434</v>
      </c>
      <c r="G21" s="64">
        <f t="shared" si="0"/>
        <v>8</v>
      </c>
      <c r="H21" s="64">
        <f t="shared" si="3"/>
        <v>60</v>
      </c>
      <c r="I21" s="21">
        <f t="shared" si="4"/>
        <v>3.9148676411688634</v>
      </c>
      <c r="J21" s="21">
        <f t="shared" si="5"/>
        <v>23.81101577952299</v>
      </c>
      <c r="K21" s="21">
        <f t="shared" si="6"/>
        <v>0.9</v>
      </c>
      <c r="L21" s="106">
        <f t="shared" si="7"/>
        <v>0.16666666666666669</v>
      </c>
      <c r="M21" s="31">
        <v>8</v>
      </c>
      <c r="N21" s="32"/>
      <c r="O21" s="32">
        <v>5</v>
      </c>
      <c r="P21" s="32"/>
      <c r="Q21" s="32"/>
      <c r="R21" s="32"/>
      <c r="S21" s="32"/>
      <c r="T21" s="31">
        <v>60</v>
      </c>
      <c r="U21" s="32"/>
      <c r="V21" s="32">
        <v>20</v>
      </c>
      <c r="W21" s="32"/>
      <c r="X21" s="32"/>
      <c r="Y21" s="32"/>
      <c r="Z21" s="33"/>
      <c r="AA21" s="28">
        <f>(PI()/4)*M21^2*O21</f>
        <v>251.32741228718345</v>
      </c>
      <c r="AB21" s="20">
        <f>PI()*M21*((M21/2)+O21)</f>
        <v>226.1946710584651</v>
      </c>
      <c r="AC21" s="22">
        <f>AB21/AA21</f>
        <v>0.9</v>
      </c>
      <c r="AD21" s="29">
        <f>10^(0.76*LOG(AA21)-0.352)</f>
        <v>29.660761267897129</v>
      </c>
      <c r="AE21" s="19">
        <v>251.32741228718299</v>
      </c>
      <c r="AF21" s="19">
        <v>226.19467105846499</v>
      </c>
      <c r="AG21" s="22">
        <v>0.9</v>
      </c>
      <c r="AH21" s="19">
        <v>29.660761267897101</v>
      </c>
      <c r="AI21" s="28">
        <f>(PI()/4)*T21^2*V21</f>
        <v>56548.667764616272</v>
      </c>
      <c r="AJ21" s="20">
        <f>PI()*T21*((T21/2)+V21)</f>
        <v>9424.7779607693792</v>
      </c>
      <c r="AK21" s="22">
        <f>AJ21/AI21</f>
        <v>0.16666666666666669</v>
      </c>
      <c r="AL21" s="29">
        <f>10^(0.76*LOG(AI21)-0.352)</f>
        <v>1819.0347978410896</v>
      </c>
      <c r="AM21" s="28">
        <v>56548.667764616301</v>
      </c>
      <c r="AN21" s="20">
        <v>9424.7779607693792</v>
      </c>
      <c r="AO21" s="22">
        <v>0.16666666666666699</v>
      </c>
      <c r="AP21" s="29">
        <v>1819.03479784109</v>
      </c>
      <c r="AQ21" s="30">
        <f>MEDIAN(AD21,AL21)</f>
        <v>924.34777955449329</v>
      </c>
      <c r="AR21" s="31">
        <v>24</v>
      </c>
      <c r="AS21" s="32"/>
      <c r="AT21" s="32"/>
      <c r="AU21" s="32"/>
      <c r="AV21" s="32"/>
      <c r="AW21" s="33"/>
      <c r="AX21" s="44"/>
      <c r="AY21" s="35" t="s">
        <v>352</v>
      </c>
    </row>
    <row r="22" spans="1:51">
      <c r="A22">
        <v>19</v>
      </c>
      <c r="B22" t="str">
        <f t="shared" si="2"/>
        <v>Bact_bath_Size</v>
      </c>
      <c r="C22" s="1" t="s">
        <v>32</v>
      </c>
      <c r="D22" s="2" t="s">
        <v>3</v>
      </c>
      <c r="E22" s="2"/>
      <c r="F22" s="26" t="s">
        <v>434</v>
      </c>
      <c r="G22" s="64">
        <f t="shared" si="0"/>
        <v>25</v>
      </c>
      <c r="H22" s="64">
        <f t="shared" si="3"/>
        <v>25</v>
      </c>
      <c r="I22" s="21">
        <f t="shared" si="4"/>
        <v>11.494641485903296</v>
      </c>
      <c r="J22" s="21">
        <f t="shared" si="5"/>
        <v>13.924766500838336</v>
      </c>
      <c r="K22" s="21">
        <f t="shared" si="6"/>
        <v>0.30222222222222223</v>
      </c>
      <c r="L22" s="106">
        <f t="shared" si="7"/>
        <v>0.24666666666666667</v>
      </c>
      <c r="M22" s="26">
        <v>18</v>
      </c>
      <c r="N22" s="24"/>
      <c r="O22" s="43">
        <v>25</v>
      </c>
      <c r="P22" s="24"/>
      <c r="Q22" s="24"/>
      <c r="R22" s="24"/>
      <c r="S22" s="24"/>
      <c r="T22" s="26">
        <v>24</v>
      </c>
      <c r="U22" s="24"/>
      <c r="V22" s="43">
        <v>25</v>
      </c>
      <c r="W22" s="24"/>
      <c r="X22" s="24"/>
      <c r="Y22" s="24"/>
      <c r="Z22" s="27"/>
      <c r="AA22" s="28">
        <f>(PI()/4)*M22^2*O22</f>
        <v>6361.7251235193307</v>
      </c>
      <c r="AB22" s="20">
        <f>PI()*M22*((M22/2)+O22)</f>
        <v>1922.6547039969535</v>
      </c>
      <c r="AC22" s="22">
        <f>AB22/AA22</f>
        <v>0.30222222222222223</v>
      </c>
      <c r="AD22" s="29">
        <f>10^(0.76*LOG(AA22)-0.352)</f>
        <v>345.71396588277651</v>
      </c>
      <c r="AE22" s="19">
        <v>6361.7251235193298</v>
      </c>
      <c r="AF22" s="19">
        <v>1922.65470399695</v>
      </c>
      <c r="AG22" s="22">
        <v>0.302222222222222</v>
      </c>
      <c r="AH22" s="19">
        <v>345.71396588277702</v>
      </c>
      <c r="AI22" s="28">
        <f>(PI()/4)*T22^2*V22</f>
        <v>11309.733552923255</v>
      </c>
      <c r="AJ22" s="20">
        <f>PI()*T22*((T22/2)+V22)</f>
        <v>2789.7342763877364</v>
      </c>
      <c r="AK22" s="22">
        <f>AJ22/AI22</f>
        <v>0.24666666666666667</v>
      </c>
      <c r="AL22" s="29">
        <f>10^(0.76*LOG(AI22)-0.352)</f>
        <v>535.33273871250412</v>
      </c>
      <c r="AM22" s="28">
        <v>11309.733552923301</v>
      </c>
      <c r="AN22" s="20">
        <v>2789.73427638774</v>
      </c>
      <c r="AO22" s="22">
        <v>0.24666666666666701</v>
      </c>
      <c r="AP22" s="29">
        <v>535.33273871250401</v>
      </c>
      <c r="AQ22" s="30">
        <f>MEDIAN(AD22,AL22)</f>
        <v>440.52335229764032</v>
      </c>
      <c r="AR22" s="31">
        <v>54</v>
      </c>
      <c r="AS22" s="32"/>
      <c r="AT22" s="32"/>
      <c r="AU22" s="32"/>
      <c r="AV22" s="32"/>
      <c r="AW22" s="33"/>
      <c r="AX22" s="44"/>
      <c r="AY22" s="35" t="s">
        <v>325</v>
      </c>
    </row>
    <row r="23" spans="1:51">
      <c r="A23">
        <v>20</v>
      </c>
      <c r="B23" t="str">
        <f t="shared" si="2"/>
        <v>Neo_sem_Size</v>
      </c>
      <c r="C23" s="1" t="s">
        <v>36</v>
      </c>
      <c r="D23" s="2" t="s">
        <v>6</v>
      </c>
      <c r="E23" s="2"/>
      <c r="F23" s="24" t="s">
        <v>436</v>
      </c>
      <c r="G23" s="64">
        <f t="shared" si="0"/>
        <v>5</v>
      </c>
      <c r="H23" s="64">
        <f t="shared" si="3"/>
        <v>60</v>
      </c>
      <c r="I23" s="21">
        <f t="shared" si="4"/>
        <v>2.4662120743304703</v>
      </c>
      <c r="J23" s="21">
        <f t="shared" si="5"/>
        <v>13.628404446241044</v>
      </c>
      <c r="K23" s="21">
        <f t="shared" si="6"/>
        <v>1.4</v>
      </c>
      <c r="L23" s="106">
        <f t="shared" si="7"/>
        <v>0.3</v>
      </c>
      <c r="M23" s="26">
        <v>5</v>
      </c>
      <c r="N23" s="24">
        <v>4</v>
      </c>
      <c r="O23" s="42">
        <v>4</v>
      </c>
      <c r="P23" s="24"/>
      <c r="Q23" s="24"/>
      <c r="R23" s="24"/>
      <c r="S23" s="24"/>
      <c r="T23" s="26">
        <v>60</v>
      </c>
      <c r="U23" s="24">
        <v>15</v>
      </c>
      <c r="V23" s="42">
        <v>15</v>
      </c>
      <c r="W23" s="24"/>
      <c r="X23" s="24"/>
      <c r="Y23" s="24"/>
      <c r="Z23" s="27"/>
      <c r="AA23" s="28">
        <f>(PI()/4)*M23*N23*O23</f>
        <v>62.831853071795862</v>
      </c>
      <c r="AB23" s="20">
        <f>PI()/2*(M23*N23+N23*O23+M23*O23)</f>
        <v>87.964594300514207</v>
      </c>
      <c r="AC23" s="22">
        <f>AB23/AA23</f>
        <v>1.4</v>
      </c>
      <c r="AD23" s="29">
        <f>10^(0.76*LOG(AA23)-0.352)</f>
        <v>10.342289729382738</v>
      </c>
      <c r="AE23" s="19">
        <v>62.831853071795898</v>
      </c>
      <c r="AF23" s="19">
        <v>87.964594300514193</v>
      </c>
      <c r="AG23" s="22">
        <v>1.4</v>
      </c>
      <c r="AH23" s="19">
        <v>10.342289729382699</v>
      </c>
      <c r="AI23" s="28">
        <f>(PI()/4)*T23*U23*V23</f>
        <v>10602.875205865552</v>
      </c>
      <c r="AJ23" s="20">
        <f>PI()/2*(T23*U23+U23*V23+T23*V23)</f>
        <v>3180.8625617596654</v>
      </c>
      <c r="AK23" s="22">
        <f>AJ23/AI23</f>
        <v>0.3</v>
      </c>
      <c r="AL23" s="29">
        <f>10^(0.76*LOG(AI23)-0.352)</f>
        <v>509.70861485842727</v>
      </c>
      <c r="AM23" s="28">
        <v>10602.875205865599</v>
      </c>
      <c r="AN23" s="20">
        <v>3180.8625617596699</v>
      </c>
      <c r="AO23" s="22">
        <v>0.3</v>
      </c>
      <c r="AP23" s="29">
        <v>509.70861485842698</v>
      </c>
      <c r="AQ23" s="30">
        <f>MEDIAN(AD23,AL23)</f>
        <v>260.025452293905</v>
      </c>
      <c r="AR23" s="31">
        <v>34</v>
      </c>
      <c r="AW23" s="70"/>
      <c r="AX23" s="89"/>
    </row>
    <row r="24" spans="1:51">
      <c r="A24">
        <v>21</v>
      </c>
      <c r="B24" t="str">
        <f t="shared" si="2"/>
        <v>Rhizo_heb_semi_Size</v>
      </c>
      <c r="C24" s="1" t="s">
        <v>37</v>
      </c>
      <c r="D24" s="2" t="s">
        <v>111</v>
      </c>
      <c r="E24" s="2"/>
      <c r="F24" s="26" t="s">
        <v>434</v>
      </c>
      <c r="G24" s="64">
        <f t="shared" si="0"/>
        <v>150</v>
      </c>
      <c r="H24" s="64">
        <f t="shared" si="3"/>
        <v>600</v>
      </c>
      <c r="I24" s="21">
        <f t="shared" si="4"/>
        <v>8.2890708719408703</v>
      </c>
      <c r="J24" s="21">
        <f t="shared" si="5"/>
        <v>56.462161732861674</v>
      </c>
      <c r="K24" s="21">
        <f t="shared" si="6"/>
        <v>0.90222222222222226</v>
      </c>
      <c r="L24" s="106">
        <f t="shared" si="7"/>
        <v>0.10333333333333333</v>
      </c>
      <c r="M24" s="26">
        <v>4.5</v>
      </c>
      <c r="N24" s="24"/>
      <c r="O24" s="43">
        <v>150</v>
      </c>
      <c r="P24" s="24"/>
      <c r="Q24" s="24"/>
      <c r="R24" s="24"/>
      <c r="S24" s="24"/>
      <c r="T24" s="26">
        <v>40</v>
      </c>
      <c r="U24" s="24"/>
      <c r="V24" s="59">
        <v>600</v>
      </c>
      <c r="W24" s="24"/>
      <c r="X24" s="24"/>
      <c r="Y24" s="24"/>
      <c r="Z24" s="27"/>
      <c r="AA24" s="28">
        <f>(PI()/4)*M24^2*O24</f>
        <v>2385.6469213197493</v>
      </c>
      <c r="AB24" s="20">
        <f>PI()*M24*((M24/2)+O24)</f>
        <v>2152.3836667907071</v>
      </c>
      <c r="AC24" s="22">
        <f>AB24/AA24</f>
        <v>0.90222222222222226</v>
      </c>
      <c r="AD24" s="29">
        <f>10^(0.76*LOG(AA24)-0.352)</f>
        <v>164.05168205699343</v>
      </c>
      <c r="AE24" s="19">
        <v>2385.6469213197502</v>
      </c>
      <c r="AF24" s="19">
        <v>2152.3836667907099</v>
      </c>
      <c r="AG24" s="22">
        <v>0.90222222222222204</v>
      </c>
      <c r="AH24" s="19">
        <v>164.051682056993</v>
      </c>
      <c r="AI24" s="28">
        <f>(PI()/4)*T24^2*V24</f>
        <v>753982.23686155037</v>
      </c>
      <c r="AJ24" s="20">
        <f>PI()*T24*((T24/2)+V24)</f>
        <v>77911.497809026871</v>
      </c>
      <c r="AK24" s="22">
        <f>AJ24/AI24</f>
        <v>0.10333333333333333</v>
      </c>
      <c r="AL24" s="29">
        <f>10^(0.76*LOG(AI24)-0.352)</f>
        <v>13025.501311371812</v>
      </c>
      <c r="AM24" s="28">
        <v>753982.23686155002</v>
      </c>
      <c r="AN24" s="20">
        <v>77911.4978090269</v>
      </c>
      <c r="AO24" s="22">
        <v>0.103333333333333</v>
      </c>
      <c r="AP24" s="29">
        <v>13025.5013113718</v>
      </c>
      <c r="AQ24" s="30">
        <f>MEDIAN(AD24,AL24)</f>
        <v>6594.776496714403</v>
      </c>
      <c r="AR24" s="31">
        <v>24</v>
      </c>
      <c r="AS24" s="32">
        <v>54</v>
      </c>
    </row>
    <row r="25" spans="1:51">
      <c r="A25">
        <v>22</v>
      </c>
      <c r="B25" t="str">
        <f t="shared" si="2"/>
        <v>Rhizo_heb_hiem_Size</v>
      </c>
      <c r="C25" s="1" t="s">
        <v>393</v>
      </c>
      <c r="D25" s="2" t="s">
        <v>112</v>
      </c>
      <c r="E25" s="2"/>
      <c r="F25" s="26" t="s">
        <v>434</v>
      </c>
      <c r="G25" s="64">
        <f t="shared" si="0"/>
        <v>150</v>
      </c>
      <c r="H25" s="64">
        <f t="shared" si="3"/>
        <v>750</v>
      </c>
      <c r="I25" s="21">
        <f t="shared" si="4"/>
        <v>18.496590557478523</v>
      </c>
      <c r="J25" s="21">
        <f t="shared" si="5"/>
        <v>64.812080509493583</v>
      </c>
      <c r="K25" s="21">
        <f t="shared" si="6"/>
        <v>0.27999999999999997</v>
      </c>
      <c r="L25" s="106">
        <f t="shared" si="7"/>
        <v>9.3575757575757562E-2</v>
      </c>
      <c r="M25" s="26">
        <v>15</v>
      </c>
      <c r="N25" s="24"/>
      <c r="O25" s="43">
        <v>150</v>
      </c>
      <c r="P25" s="24"/>
      <c r="Q25" s="24"/>
      <c r="R25" s="24"/>
      <c r="S25" s="24"/>
      <c r="T25" s="26">
        <v>44</v>
      </c>
      <c r="U25" s="24"/>
      <c r="V25" s="24">
        <v>750</v>
      </c>
      <c r="W25" s="24"/>
      <c r="X25" s="24"/>
      <c r="Y25" s="24"/>
      <c r="Z25" s="27"/>
      <c r="AA25" s="28">
        <f>(PI()/4)*M25^2*O25</f>
        <v>26507.18801466388</v>
      </c>
      <c r="AB25" s="20">
        <f>PI()*M25*((M25/2)+O25)</f>
        <v>7422.0126441058856</v>
      </c>
      <c r="AC25" s="22">
        <f>AB25/AA25</f>
        <v>0.27999999999999997</v>
      </c>
      <c r="AD25" s="29">
        <f>10^(0.76*LOG(AA25)-0.352)</f>
        <v>1022.7191322748487</v>
      </c>
      <c r="AE25" s="19">
        <v>26507.188014663901</v>
      </c>
      <c r="AF25" s="19">
        <v>7422.0126441058901</v>
      </c>
      <c r="AG25" s="22">
        <v>0.28000000000000003</v>
      </c>
      <c r="AH25" s="19">
        <v>1022.71913227485</v>
      </c>
      <c r="AI25" s="28">
        <f>(PI()/4)*T25^2*V25</f>
        <v>1140398.133253095</v>
      </c>
      <c r="AJ25" s="20">
        <f>PI()*T25*((T25/2)+V25)</f>
        <v>106713.61925713808</v>
      </c>
      <c r="AK25" s="22">
        <f>AJ25/AI25</f>
        <v>9.3575757575757562E-2</v>
      </c>
      <c r="AL25" s="29">
        <f>10^(0.76*LOG(AI25)-0.352)</f>
        <v>17838.689172905142</v>
      </c>
      <c r="AM25" s="28">
        <v>1140398.1332530901</v>
      </c>
      <c r="AN25" s="20">
        <v>106713.61925713799</v>
      </c>
      <c r="AO25" s="22">
        <v>9.3575757575757604E-2</v>
      </c>
      <c r="AP25" s="29">
        <v>17838.689172905099</v>
      </c>
      <c r="AQ25" s="30">
        <f>MEDIAN(AD25,AL25)</f>
        <v>9430.7041525899967</v>
      </c>
      <c r="AR25" s="31">
        <v>24</v>
      </c>
      <c r="AS25" s="32">
        <v>54</v>
      </c>
      <c r="AT25" s="32"/>
      <c r="AU25" s="32"/>
      <c r="AV25" s="32"/>
      <c r="AW25" s="33"/>
      <c r="AX25" s="44"/>
      <c r="AY25" s="35" t="s">
        <v>347</v>
      </c>
    </row>
    <row r="26" spans="1:51">
      <c r="A26">
        <v>23</v>
      </c>
      <c r="B26" t="str">
        <f t="shared" si="2"/>
        <v>Thalx_long_Size</v>
      </c>
      <c r="C26" s="1" t="s">
        <v>40</v>
      </c>
      <c r="D26" s="2" t="s">
        <v>9</v>
      </c>
      <c r="E26" s="2"/>
      <c r="F26" s="26" t="s">
        <v>437</v>
      </c>
      <c r="G26" s="64">
        <f t="shared" si="0"/>
        <v>530</v>
      </c>
      <c r="H26" s="64">
        <f t="shared" si="3"/>
        <v>4000</v>
      </c>
      <c r="I26" s="21">
        <f t="shared" si="4"/>
        <v>13.033921559207919</v>
      </c>
      <c r="J26" s="21">
        <f t="shared" si="5"/>
        <v>34.229999343445023</v>
      </c>
      <c r="K26" s="21">
        <f t="shared" si="6"/>
        <v>1.089487870619946</v>
      </c>
      <c r="L26" s="106">
        <f t="shared" si="7"/>
        <v>0.61954761904761901</v>
      </c>
      <c r="M26" s="26">
        <v>530</v>
      </c>
      <c r="N26" s="24">
        <v>2.5</v>
      </c>
      <c r="O26" s="43">
        <v>7</v>
      </c>
      <c r="P26" s="24"/>
      <c r="Q26" s="24"/>
      <c r="R26" s="24"/>
      <c r="S26" s="24"/>
      <c r="T26" s="26">
        <v>4000</v>
      </c>
      <c r="U26" s="24">
        <v>6</v>
      </c>
      <c r="V26" s="43">
        <v>7</v>
      </c>
      <c r="W26" s="24"/>
      <c r="X26" s="24"/>
      <c r="Y26" s="24"/>
      <c r="Z26" s="27"/>
      <c r="AA26" s="28">
        <v>9275</v>
      </c>
      <c r="AB26" s="20">
        <v>10105</v>
      </c>
      <c r="AC26" s="22">
        <v>1.089487870619946</v>
      </c>
      <c r="AD26" s="29">
        <v>460.42466194039343</v>
      </c>
      <c r="AE26" s="19">
        <v>9275</v>
      </c>
      <c r="AF26" s="19">
        <v>10105</v>
      </c>
      <c r="AG26" s="22">
        <v>1.08948787061995</v>
      </c>
      <c r="AH26" s="19">
        <v>460.42466194039298</v>
      </c>
      <c r="AI26" s="28">
        <v>168000</v>
      </c>
      <c r="AJ26" s="20">
        <v>104084</v>
      </c>
      <c r="AK26" s="22">
        <v>0.61954761904761901</v>
      </c>
      <c r="AL26" s="29">
        <v>4161.3577559226023</v>
      </c>
      <c r="AM26" s="28">
        <v>168000</v>
      </c>
      <c r="AN26" s="20">
        <v>104084</v>
      </c>
      <c r="AO26" s="22">
        <v>0.61954761904761901</v>
      </c>
      <c r="AP26" s="29">
        <v>4161.3577559225996</v>
      </c>
      <c r="AQ26" s="30">
        <v>2310.8912089314981</v>
      </c>
      <c r="AR26" s="31">
        <v>10</v>
      </c>
      <c r="AS26" s="32">
        <v>54</v>
      </c>
      <c r="AT26" s="32"/>
      <c r="AU26" s="32"/>
      <c r="AV26" s="32"/>
      <c r="AW26" s="32"/>
      <c r="AX26" s="95"/>
    </row>
    <row r="27" spans="1:51">
      <c r="A27">
        <v>24</v>
      </c>
      <c r="B27" t="str">
        <f t="shared" si="2"/>
        <v>Thalx_antarc_Size</v>
      </c>
      <c r="C27" s="1" t="s">
        <v>136</v>
      </c>
      <c r="D27" s="2" t="s">
        <v>135</v>
      </c>
      <c r="E27" s="2"/>
      <c r="F27" s="26" t="s">
        <v>437</v>
      </c>
      <c r="G27" s="64">
        <f t="shared" si="0"/>
        <v>420</v>
      </c>
      <c r="H27" s="64">
        <f t="shared" si="3"/>
        <v>5680</v>
      </c>
      <c r="I27" s="21">
        <f t="shared" si="4"/>
        <v>6.0876227738699411</v>
      </c>
      <c r="J27" s="21">
        <f t="shared" si="5"/>
        <v>36.547197127970968</v>
      </c>
      <c r="K27" s="21">
        <f t="shared" si="6"/>
        <v>2.6714285714285713</v>
      </c>
      <c r="L27" s="106">
        <f t="shared" si="7"/>
        <v>0.66701877934272302</v>
      </c>
      <c r="M27" s="24">
        <v>420</v>
      </c>
      <c r="N27" s="24">
        <v>1.5</v>
      </c>
      <c r="O27" s="42">
        <v>1.5</v>
      </c>
      <c r="P27" s="24"/>
      <c r="Q27" s="24"/>
      <c r="R27" s="24"/>
      <c r="S27" s="24"/>
      <c r="T27" s="24">
        <v>5680</v>
      </c>
      <c r="U27" s="24">
        <v>6</v>
      </c>
      <c r="V27" s="42">
        <v>6</v>
      </c>
      <c r="W27" s="24"/>
      <c r="X27" s="24"/>
      <c r="Y27" s="24"/>
      <c r="Z27" s="24"/>
      <c r="AA27" s="20">
        <v>945</v>
      </c>
      <c r="AB27" s="20">
        <v>2524.5</v>
      </c>
      <c r="AC27" s="22">
        <v>2.6714285714285713</v>
      </c>
      <c r="AD27" s="19">
        <v>81.157409187207676</v>
      </c>
      <c r="AE27" s="19">
        <v>945</v>
      </c>
      <c r="AF27" s="19">
        <v>2524.5</v>
      </c>
      <c r="AG27" s="22">
        <v>2.6714285714285699</v>
      </c>
      <c r="AH27" s="19">
        <v>81.157409187207705</v>
      </c>
      <c r="AI27" s="20">
        <v>204480</v>
      </c>
      <c r="AJ27" s="20">
        <v>136392</v>
      </c>
      <c r="AK27" s="22">
        <v>0.66701877934272302</v>
      </c>
      <c r="AL27" s="19">
        <v>4831.6407531000868</v>
      </c>
      <c r="AM27" s="20">
        <v>204480</v>
      </c>
      <c r="AN27" s="20">
        <v>136392</v>
      </c>
      <c r="AO27" s="22">
        <v>0.66701877934272302</v>
      </c>
      <c r="AP27" s="19">
        <v>4831.6407531000896</v>
      </c>
      <c r="AQ27" s="19">
        <v>2456.399081143647</v>
      </c>
      <c r="AR27" s="32">
        <v>0</v>
      </c>
      <c r="AS27" s="32"/>
      <c r="AT27" s="32"/>
      <c r="AU27" s="32"/>
      <c r="AV27" s="32"/>
      <c r="AW27" s="32"/>
      <c r="AX27" s="94" t="s">
        <v>328</v>
      </c>
    </row>
    <row r="28" spans="1:51">
      <c r="A28">
        <v>25</v>
      </c>
      <c r="B28" t="str">
        <f t="shared" si="2"/>
        <v>Frag_kerg_Size</v>
      </c>
      <c r="C28" s="1" t="s">
        <v>142</v>
      </c>
      <c r="D28" s="2" t="s">
        <v>70</v>
      </c>
      <c r="E28" s="2"/>
      <c r="F28" s="24" t="s">
        <v>436</v>
      </c>
      <c r="G28" s="64">
        <f t="shared" si="0"/>
        <v>10</v>
      </c>
      <c r="H28" s="64">
        <f t="shared" si="3"/>
        <v>76</v>
      </c>
      <c r="I28" s="21">
        <f t="shared" si="4"/>
        <v>3.6056239257685205</v>
      </c>
      <c r="J28" s="21">
        <f t="shared" si="5"/>
        <v>13.297385809149775</v>
      </c>
      <c r="K28" s="21">
        <f t="shared" si="6"/>
        <v>0.99999999999999989</v>
      </c>
      <c r="L28" s="106">
        <f t="shared" si="7"/>
        <v>0.34146730462519936</v>
      </c>
      <c r="M28" s="24">
        <v>10</v>
      </c>
      <c r="N28" s="24">
        <v>5</v>
      </c>
      <c r="O28" s="43">
        <v>5</v>
      </c>
      <c r="P28" s="24"/>
      <c r="Q28" s="24"/>
      <c r="R28" s="24"/>
      <c r="S28" s="24"/>
      <c r="T28" s="24">
        <v>76</v>
      </c>
      <c r="U28" s="24">
        <v>11</v>
      </c>
      <c r="V28" s="43">
        <v>15</v>
      </c>
      <c r="W28" s="24"/>
      <c r="X28" s="24"/>
      <c r="Y28" s="24"/>
      <c r="Z28" s="24"/>
      <c r="AA28" s="20">
        <f>(PI()/4)*M28*N28*O28</f>
        <v>196.34954084936209</v>
      </c>
      <c r="AB28" s="20">
        <f>PI()/2*(M28*N28+N28*O28+M28*O28)</f>
        <v>196.34954084936206</v>
      </c>
      <c r="AC28" s="22">
        <f>AB28/AA28</f>
        <v>0.99999999999999989</v>
      </c>
      <c r="AD28" s="19">
        <f>10^(0.76*LOG(AA28)-0.352)</f>
        <v>24.586840078405274</v>
      </c>
      <c r="AE28" s="19">
        <v>196.349540849362</v>
      </c>
      <c r="AF28" s="19">
        <v>196.349540849362</v>
      </c>
      <c r="AG28" s="22">
        <v>1</v>
      </c>
      <c r="AH28" s="19">
        <v>24.586840078405299</v>
      </c>
      <c r="AI28" s="20">
        <f>(PI()/4)*T28*U28*V28</f>
        <v>9848.8929690040004</v>
      </c>
      <c r="AJ28" s="20">
        <f>PI()/2*(T28*U28+U28*V28+T28*V28)</f>
        <v>3363.0749356678734</v>
      </c>
      <c r="AK28" s="22">
        <f>AJ28/AI28</f>
        <v>0.34146730462519936</v>
      </c>
      <c r="AL28" s="19">
        <f>10^(0.76*LOG(AI28)-0.352)</f>
        <v>481.91943117623373</v>
      </c>
      <c r="AM28" s="20">
        <v>9848.8929690040004</v>
      </c>
      <c r="AN28" s="20">
        <v>3363.0749356678698</v>
      </c>
      <c r="AO28" s="22">
        <v>0.34146730462519898</v>
      </c>
      <c r="AP28" s="19">
        <v>481.91943117623401</v>
      </c>
      <c r="AQ28" s="19">
        <f>MEDIAN(AD28,AL28)</f>
        <v>253.25313562731952</v>
      </c>
      <c r="AR28" s="32">
        <v>6</v>
      </c>
      <c r="AS28" s="32">
        <v>54</v>
      </c>
    </row>
    <row r="29" spans="1:51">
      <c r="A29">
        <v>26</v>
      </c>
      <c r="B29" t="str">
        <f t="shared" si="2"/>
        <v>Pseudo_line_Size</v>
      </c>
      <c r="C29" s="1" t="s">
        <v>146</v>
      </c>
      <c r="D29" s="2" t="s">
        <v>147</v>
      </c>
      <c r="E29" s="2"/>
      <c r="F29" s="26" t="s">
        <v>438</v>
      </c>
      <c r="G29" s="64">
        <f t="shared" si="0"/>
        <v>56</v>
      </c>
      <c r="H29" s="64">
        <f t="shared" si="3"/>
        <v>112</v>
      </c>
      <c r="I29" s="21">
        <f t="shared" si="4"/>
        <v>2.7874353970163774</v>
      </c>
      <c r="J29" s="21">
        <f t="shared" si="5"/>
        <v>4.601954445970895</v>
      </c>
      <c r="K29" s="21">
        <f t="shared" si="6"/>
        <v>1.3890323467425676</v>
      </c>
      <c r="L29" s="106">
        <f t="shared" si="7"/>
        <v>0.92597972869686751</v>
      </c>
      <c r="M29" s="26">
        <v>56</v>
      </c>
      <c r="N29" s="24">
        <v>1.8</v>
      </c>
      <c r="O29" s="43">
        <v>1.8</v>
      </c>
      <c r="P29" s="24"/>
      <c r="Q29" s="24"/>
      <c r="R29" s="24"/>
      <c r="S29" s="24"/>
      <c r="T29" s="26">
        <v>112</v>
      </c>
      <c r="U29" s="24">
        <v>2.7</v>
      </c>
      <c r="V29" s="43">
        <v>2.7</v>
      </c>
      <c r="W29" s="24"/>
      <c r="X29" s="24"/>
      <c r="Y29" s="24"/>
      <c r="Z29" s="27"/>
      <c r="AA29" s="28">
        <v>90.72</v>
      </c>
      <c r="AB29" s="20">
        <v>126.01301449648574</v>
      </c>
      <c r="AC29" s="22">
        <v>1.3890323467425676</v>
      </c>
      <c r="AD29" s="29">
        <v>13.672700842456338</v>
      </c>
      <c r="AE29" s="19">
        <v>90.72</v>
      </c>
      <c r="AF29" s="19">
        <v>126.01301449648599</v>
      </c>
      <c r="AG29" s="22">
        <v>1.38903234674257</v>
      </c>
      <c r="AH29" s="19">
        <v>13.672700842456299</v>
      </c>
      <c r="AI29" s="28">
        <v>408.24000000000007</v>
      </c>
      <c r="AJ29" s="20">
        <v>378.02196444320924</v>
      </c>
      <c r="AK29" s="22">
        <v>0.92597972869686751</v>
      </c>
      <c r="AL29" s="29">
        <v>42.884052799089758</v>
      </c>
      <c r="AM29" s="28">
        <v>408.24</v>
      </c>
      <c r="AN29" s="20">
        <v>378.02196444320901</v>
      </c>
      <c r="AO29" s="22">
        <v>0.92597972869686795</v>
      </c>
      <c r="AP29" s="29">
        <v>42.884052799089801</v>
      </c>
      <c r="AQ29" s="30">
        <v>28.278376820773047</v>
      </c>
      <c r="AR29" s="31">
        <v>54</v>
      </c>
      <c r="AS29" s="32"/>
      <c r="AT29" s="32"/>
      <c r="AU29" s="32"/>
      <c r="AV29" s="32"/>
      <c r="AW29" s="33"/>
      <c r="AX29" s="44"/>
      <c r="AY29" s="35" t="s">
        <v>340</v>
      </c>
    </row>
    <row r="30" spans="1:51">
      <c r="A30">
        <v>27</v>
      </c>
      <c r="B30" t="str">
        <f t="shared" si="2"/>
        <v>Thala_grac_Size</v>
      </c>
      <c r="C30" s="1" t="s">
        <v>153</v>
      </c>
      <c r="D30" s="2" t="s">
        <v>150</v>
      </c>
      <c r="E30" s="2"/>
      <c r="F30" s="26" t="s">
        <v>434</v>
      </c>
      <c r="G30" s="64">
        <f t="shared" si="0"/>
        <v>5</v>
      </c>
      <c r="H30" s="64">
        <f t="shared" si="3"/>
        <v>28</v>
      </c>
      <c r="I30" s="21">
        <f t="shared" si="4"/>
        <v>2.4137234615140741</v>
      </c>
      <c r="J30" s="21">
        <f t="shared" si="5"/>
        <v>12.719844149824977</v>
      </c>
      <c r="K30" s="21">
        <f t="shared" si="6"/>
        <v>1.4666666666666668</v>
      </c>
      <c r="L30" s="106">
        <f t="shared" si="7"/>
        <v>0.28571428571428575</v>
      </c>
      <c r="M30" s="26">
        <v>5</v>
      </c>
      <c r="N30" s="24"/>
      <c r="O30" s="42">
        <v>3</v>
      </c>
      <c r="P30" s="24"/>
      <c r="Q30" s="24"/>
      <c r="R30" s="24"/>
      <c r="S30" s="24"/>
      <c r="T30" s="26">
        <v>28</v>
      </c>
      <c r="U30" s="24"/>
      <c r="V30" s="42">
        <v>14</v>
      </c>
      <c r="W30" s="24"/>
      <c r="X30" s="24"/>
      <c r="Y30" s="24"/>
      <c r="Z30" s="27"/>
      <c r="AA30" s="28">
        <f>(PI()/4)*M30^2*O30</f>
        <v>58.90486225480862</v>
      </c>
      <c r="AB30" s="20">
        <f>PI()*M30*((M30/2)+O30)</f>
        <v>86.393797973719316</v>
      </c>
      <c r="AC30" s="22">
        <f>AB30/AA30</f>
        <v>1.4666666666666668</v>
      </c>
      <c r="AD30" s="29">
        <f>10^(0.76*LOG(AA30)-0.352)</f>
        <v>9.8472478726156467</v>
      </c>
      <c r="AE30" s="19">
        <v>58.904862254808599</v>
      </c>
      <c r="AF30" s="19">
        <v>86.393797973719302</v>
      </c>
      <c r="AG30" s="22">
        <v>1.4666666666666699</v>
      </c>
      <c r="AH30" s="19">
        <v>9.8472478726156503</v>
      </c>
      <c r="AI30" s="28">
        <f>(PI()/4)*T30^2*V30</f>
        <v>8620.5302414503913</v>
      </c>
      <c r="AJ30" s="20">
        <f>PI()*T30*((T30/2)+V30)</f>
        <v>2463.0086404143976</v>
      </c>
      <c r="AK30" s="22">
        <f>AJ30/AI30</f>
        <v>0.28571428571428575</v>
      </c>
      <c r="AL30" s="29">
        <f>10^(0.76*LOG(AI30)-0.352)</f>
        <v>435.51771464586125</v>
      </c>
      <c r="AM30" s="28">
        <v>8620.5302414503894</v>
      </c>
      <c r="AN30" s="20">
        <v>2463.0086404143999</v>
      </c>
      <c r="AO30" s="22">
        <v>0.28571428571428598</v>
      </c>
      <c r="AP30" s="29">
        <v>435.51771464586102</v>
      </c>
      <c r="AQ30" s="30">
        <f>MEDIAN(AD30,AL30)</f>
        <v>222.68248125923844</v>
      </c>
      <c r="AR30" s="31">
        <v>54</v>
      </c>
    </row>
    <row r="31" spans="1:51">
      <c r="A31">
        <v>28</v>
      </c>
      <c r="B31" t="str">
        <f t="shared" si="2"/>
        <v>Frag_pseud_Size</v>
      </c>
      <c r="C31" s="1" t="s">
        <v>157</v>
      </c>
      <c r="D31" s="2" t="s">
        <v>156</v>
      </c>
      <c r="E31" s="2"/>
      <c r="F31" s="24" t="s">
        <v>436</v>
      </c>
      <c r="G31" s="64">
        <f t="shared" si="0"/>
        <v>4</v>
      </c>
      <c r="H31" s="64">
        <f t="shared" si="3"/>
        <v>20</v>
      </c>
      <c r="I31" s="21">
        <f t="shared" si="4"/>
        <v>1.7380133224432248</v>
      </c>
      <c r="J31" s="21">
        <f t="shared" si="5"/>
        <v>4.8274469230281483</v>
      </c>
      <c r="K31" s="21">
        <f t="shared" si="6"/>
        <v>2.0714285714285716</v>
      </c>
      <c r="L31" s="106">
        <f t="shared" si="7"/>
        <v>0.83333333333333326</v>
      </c>
      <c r="M31" s="24">
        <v>4</v>
      </c>
      <c r="N31" s="24">
        <v>3.5</v>
      </c>
      <c r="O31" s="43">
        <v>2</v>
      </c>
      <c r="P31" s="24"/>
      <c r="Q31" s="24"/>
      <c r="R31" s="24"/>
      <c r="S31" s="24"/>
      <c r="T31" s="24">
        <v>20</v>
      </c>
      <c r="U31" s="24">
        <v>5</v>
      </c>
      <c r="V31" s="43">
        <v>6</v>
      </c>
      <c r="W31" s="24"/>
      <c r="X31" s="24"/>
      <c r="Y31" s="24"/>
      <c r="Z31" s="24"/>
      <c r="AA31" s="20">
        <f>(PI()/4)*M31*N31*O31</f>
        <v>21.991148575128552</v>
      </c>
      <c r="AB31" s="20">
        <f>PI()/2*(M31*N31+N31*O31+M31*O31)</f>
        <v>45.553093477052002</v>
      </c>
      <c r="AC31" s="22">
        <f>AB31/AA31</f>
        <v>2.0714285714285716</v>
      </c>
      <c r="AD31" s="19">
        <f>10^(0.76*LOG(AA31)-0.352)</f>
        <v>4.6570233306664823</v>
      </c>
      <c r="AE31" s="19">
        <v>21.991148575128602</v>
      </c>
      <c r="AF31" s="19">
        <v>45.553093477052002</v>
      </c>
      <c r="AG31" s="22">
        <v>2.0714285714285698</v>
      </c>
      <c r="AH31" s="19">
        <v>4.6570233306664797</v>
      </c>
      <c r="AI31" s="20">
        <f>(PI()/4)*T31*U31*V31</f>
        <v>471.23889803846896</v>
      </c>
      <c r="AJ31" s="20">
        <f>PI()/2*(T31*U31+U31*V31+T31*V31)</f>
        <v>392.69908169872411</v>
      </c>
      <c r="AK31" s="22">
        <f>AJ31/AI31</f>
        <v>0.83333333333333326</v>
      </c>
      <c r="AL31" s="19">
        <f>10^(0.76*LOG(AI31)-0.352)</f>
        <v>47.825911969199737</v>
      </c>
      <c r="AM31" s="20">
        <v>471.23889803846902</v>
      </c>
      <c r="AN31" s="20">
        <v>392.699081698724</v>
      </c>
      <c r="AO31" s="22">
        <v>0.83333333333333304</v>
      </c>
      <c r="AP31" s="19">
        <v>47.825911969199701</v>
      </c>
      <c r="AQ31" s="19">
        <f>MEDIAN(AD31,AL31)</f>
        <v>26.24146764993311</v>
      </c>
      <c r="AR31" s="32">
        <v>6</v>
      </c>
      <c r="AS31" s="32">
        <v>54</v>
      </c>
      <c r="AT31" s="32"/>
      <c r="AU31" s="32"/>
      <c r="AV31" s="32"/>
      <c r="AW31" s="32"/>
      <c r="AX31" s="95"/>
      <c r="AY31" s="35" t="s">
        <v>337</v>
      </c>
    </row>
    <row r="32" spans="1:51">
      <c r="A32">
        <v>29</v>
      </c>
      <c r="B32" t="str">
        <f t="shared" si="2"/>
        <v>Nav_direc_Size</v>
      </c>
      <c r="C32" s="1" t="s">
        <v>161</v>
      </c>
      <c r="D32" s="2" t="s">
        <v>162</v>
      </c>
      <c r="E32" s="2"/>
      <c r="F32" s="24" t="s">
        <v>436</v>
      </c>
      <c r="G32" s="64">
        <f t="shared" si="0"/>
        <v>52</v>
      </c>
      <c r="H32" s="64">
        <f t="shared" si="3"/>
        <v>137</v>
      </c>
      <c r="I32" s="21">
        <f t="shared" si="4"/>
        <v>8.1733020255631121</v>
      </c>
      <c r="J32" s="21">
        <f t="shared" si="5"/>
        <v>13.510280235468276</v>
      </c>
      <c r="K32" s="21">
        <f t="shared" si="6"/>
        <v>0.57417582417582413</v>
      </c>
      <c r="L32" s="106">
        <f t="shared" si="7"/>
        <v>0.43126520681265207</v>
      </c>
      <c r="M32" s="26">
        <v>52</v>
      </c>
      <c r="N32" s="24">
        <v>7</v>
      </c>
      <c r="O32" s="43">
        <v>8</v>
      </c>
      <c r="P32" s="24"/>
      <c r="Q32" s="24"/>
      <c r="R32" s="24"/>
      <c r="S32" s="24"/>
      <c r="T32" s="26">
        <v>137</v>
      </c>
      <c r="U32" s="24">
        <v>12</v>
      </c>
      <c r="V32" s="43">
        <v>8</v>
      </c>
      <c r="W32" s="24"/>
      <c r="X32" s="24"/>
      <c r="Y32" s="24"/>
      <c r="Z32" s="27"/>
      <c r="AA32" s="28">
        <f>(PI()/4)*M32*N32*O32</f>
        <v>2287.0794518133698</v>
      </c>
      <c r="AB32" s="20">
        <f>PI()/2*(M32*N32+N32*O32+M32*O32)</f>
        <v>1313.1857292005336</v>
      </c>
      <c r="AC32" s="22">
        <f>AB32/AA32</f>
        <v>0.57417582417582413</v>
      </c>
      <c r="AD32" s="29">
        <f>10^(0.76*LOG(AA32)-0.352)</f>
        <v>158.87433711633821</v>
      </c>
      <c r="AE32" s="19">
        <v>2287.0794518133698</v>
      </c>
      <c r="AF32" s="19">
        <v>1313.18572920053</v>
      </c>
      <c r="AG32" s="22">
        <v>0.57417582417582402</v>
      </c>
      <c r="AH32" s="19">
        <v>158.87433711633801</v>
      </c>
      <c r="AI32" s="28">
        <f>(PI()/4)*T32*U32*V32</f>
        <v>10329.55664500324</v>
      </c>
      <c r="AJ32" s="20">
        <f>PI()/2*(T32*U32+U32*V32+T32*V32)</f>
        <v>4454.7783827903268</v>
      </c>
      <c r="AK32" s="22">
        <f>AJ32/AI32</f>
        <v>0.43126520681265207</v>
      </c>
      <c r="AL32" s="29">
        <f>10^(0.76*LOG(AI32)-0.352)</f>
        <v>499.6916335206314</v>
      </c>
      <c r="AM32" s="28">
        <v>10329.5566450032</v>
      </c>
      <c r="AN32" s="20">
        <v>4454.7783827903304</v>
      </c>
      <c r="AO32" s="22">
        <v>0.43126520681265201</v>
      </c>
      <c r="AP32" s="29">
        <v>499.691633520631</v>
      </c>
      <c r="AQ32" s="30">
        <f>MEDIAN(AD32,AL32)</f>
        <v>329.2829853184848</v>
      </c>
      <c r="AR32" s="31">
        <v>28</v>
      </c>
      <c r="AS32" s="32">
        <v>54</v>
      </c>
      <c r="AT32" s="32"/>
      <c r="AU32" s="32"/>
      <c r="AV32" s="32"/>
      <c r="AW32" s="33"/>
      <c r="AX32" s="44"/>
      <c r="AY32" s="35" t="s">
        <v>339</v>
      </c>
    </row>
    <row r="33" spans="1:51">
      <c r="A33">
        <v>30</v>
      </c>
      <c r="B33" t="str">
        <f t="shared" si="2"/>
        <v>Thala_lent_Size</v>
      </c>
      <c r="C33" s="1" t="s">
        <v>165</v>
      </c>
      <c r="D33" s="2" t="s">
        <v>166</v>
      </c>
      <c r="E33" s="2"/>
      <c r="F33" s="26" t="s">
        <v>434</v>
      </c>
      <c r="G33" s="64">
        <f t="shared" si="0"/>
        <v>29</v>
      </c>
      <c r="H33" s="64">
        <f t="shared" si="3"/>
        <v>120</v>
      </c>
      <c r="I33" s="21">
        <f t="shared" si="4"/>
        <v>10.334713366385696</v>
      </c>
      <c r="J33" s="21">
        <f t="shared" si="5"/>
        <v>43.267487109222238</v>
      </c>
      <c r="K33" s="21">
        <f t="shared" si="6"/>
        <v>0.42364532019704432</v>
      </c>
      <c r="L33" s="106">
        <f t="shared" si="7"/>
        <v>9.9999999999999992E-2</v>
      </c>
      <c r="M33" s="26">
        <v>29</v>
      </c>
      <c r="N33" s="24"/>
      <c r="O33" s="42">
        <v>7</v>
      </c>
      <c r="P33" s="24"/>
      <c r="Q33" s="24"/>
      <c r="R33" s="24"/>
      <c r="S33" s="24"/>
      <c r="T33" s="26">
        <v>120</v>
      </c>
      <c r="U33" s="24"/>
      <c r="V33" s="42">
        <v>30</v>
      </c>
      <c r="W33" s="24"/>
      <c r="X33" s="24"/>
      <c r="Y33" s="24"/>
      <c r="Z33" s="27"/>
      <c r="AA33" s="28">
        <f>(PI()/4)*M33^2*O33</f>
        <v>4623.6389879207782</v>
      </c>
      <c r="AB33" s="20">
        <f>PI()*M33*((M33/2)+O33)</f>
        <v>1958.783019513236</v>
      </c>
      <c r="AC33" s="22">
        <f>AB33/AA33</f>
        <v>0.42364532019704432</v>
      </c>
      <c r="AD33" s="29">
        <f>10^(0.76*LOG(AA33)-0.352)</f>
        <v>271.26126146702848</v>
      </c>
      <c r="AE33" s="19">
        <v>4623.63898792078</v>
      </c>
      <c r="AF33" s="19">
        <v>1958.7830195132401</v>
      </c>
      <c r="AG33" s="22">
        <v>0.42364532019704398</v>
      </c>
      <c r="AH33" s="19">
        <v>271.26126146702802</v>
      </c>
      <c r="AI33" s="28">
        <f>(PI()/4)*T33^2*V33</f>
        <v>339292.00658769766</v>
      </c>
      <c r="AJ33" s="20">
        <f>PI()*T33*((T33/2)+V33)</f>
        <v>33929.200658769762</v>
      </c>
      <c r="AK33" s="22">
        <f>AJ33/AI33</f>
        <v>9.9999999999999992E-2</v>
      </c>
      <c r="AL33" s="29">
        <f>10^(0.76*LOG(AI33)-0.352)</f>
        <v>7099.6339485102717</v>
      </c>
      <c r="AM33" s="28">
        <v>339292.00658769801</v>
      </c>
      <c r="AN33" s="20">
        <v>33929.200658769798</v>
      </c>
      <c r="AO33" s="22">
        <v>0.1</v>
      </c>
      <c r="AP33" s="29">
        <v>7099.6339485102699</v>
      </c>
      <c r="AQ33" s="30">
        <f>MEDIAN(AD33,AL33)</f>
        <v>3685.4476049886498</v>
      </c>
      <c r="AR33" s="31">
        <v>28</v>
      </c>
      <c r="AW33" s="70"/>
      <c r="AX33" s="89"/>
    </row>
    <row r="34" spans="1:51">
      <c r="A34">
        <v>31</v>
      </c>
      <c r="B34" t="str">
        <f t="shared" si="2"/>
        <v>Pseudo_heim_Size</v>
      </c>
      <c r="C34" s="1" t="s">
        <v>169</v>
      </c>
      <c r="D34" s="2" t="s">
        <v>170</v>
      </c>
      <c r="E34" s="2"/>
      <c r="F34" s="26" t="s">
        <v>438</v>
      </c>
      <c r="G34" s="64">
        <f t="shared" si="0"/>
        <v>67</v>
      </c>
      <c r="H34" s="64">
        <f t="shared" si="3"/>
        <v>120</v>
      </c>
      <c r="I34" s="21">
        <f t="shared" si="4"/>
        <v>5.0391667158460063</v>
      </c>
      <c r="J34" s="21">
        <f t="shared" si="5"/>
        <v>8.0190277054318528</v>
      </c>
      <c r="K34" s="21">
        <f t="shared" si="6"/>
        <v>0.62522256861604353</v>
      </c>
      <c r="L34" s="106">
        <f t="shared" si="7"/>
        <v>0.41677076831041993</v>
      </c>
      <c r="M34" s="26">
        <v>67</v>
      </c>
      <c r="N34" s="24">
        <v>4</v>
      </c>
      <c r="O34" s="43">
        <v>4</v>
      </c>
      <c r="P34" s="24"/>
      <c r="Q34" s="24"/>
      <c r="R34" s="24"/>
      <c r="S34" s="24"/>
      <c r="T34" s="26">
        <v>120</v>
      </c>
      <c r="U34" s="24">
        <v>6</v>
      </c>
      <c r="V34" s="43">
        <v>6</v>
      </c>
      <c r="W34" s="24"/>
      <c r="X34" s="24"/>
      <c r="Y34" s="24"/>
      <c r="Z34" s="27"/>
      <c r="AA34" s="28">
        <v>536</v>
      </c>
      <c r="AB34" s="20">
        <v>335.11929677819933</v>
      </c>
      <c r="AC34" s="22">
        <v>0.62522256861604353</v>
      </c>
      <c r="AD34" s="29">
        <v>52.743049976713657</v>
      </c>
      <c r="AE34" s="19">
        <v>536</v>
      </c>
      <c r="AF34" s="19">
        <v>335.11929677819899</v>
      </c>
      <c r="AG34" s="22">
        <v>0.62522256861604397</v>
      </c>
      <c r="AH34" s="19">
        <v>52.743049976713699</v>
      </c>
      <c r="AI34" s="28">
        <v>2160</v>
      </c>
      <c r="AJ34" s="20">
        <v>900.22485955050706</v>
      </c>
      <c r="AK34" s="22">
        <v>0.41677076831041993</v>
      </c>
      <c r="AL34" s="29">
        <v>152.11948655349764</v>
      </c>
      <c r="AM34" s="28">
        <v>2160</v>
      </c>
      <c r="AN34" s="20">
        <v>900.22485955050695</v>
      </c>
      <c r="AO34" s="22">
        <v>0.41677076831041998</v>
      </c>
      <c r="AP34" s="29">
        <v>152.11948655349801</v>
      </c>
      <c r="AQ34" s="30">
        <v>102.43126826510564</v>
      </c>
      <c r="AR34" s="31">
        <v>54</v>
      </c>
      <c r="AS34" s="32"/>
      <c r="AT34" s="32"/>
      <c r="AU34" s="32"/>
      <c r="AV34" s="32"/>
      <c r="AW34" s="32"/>
      <c r="AX34" s="95"/>
      <c r="AY34" s="35" t="s">
        <v>341</v>
      </c>
    </row>
    <row r="35" spans="1:51">
      <c r="A35">
        <v>32</v>
      </c>
      <c r="B35" t="str">
        <f t="shared" si="2"/>
        <v>Frag_rhomb_Size</v>
      </c>
      <c r="C35" s="1" t="s">
        <v>172</v>
      </c>
      <c r="D35" s="2" t="s">
        <v>71</v>
      </c>
      <c r="E35" s="2"/>
      <c r="F35" s="24" t="s">
        <v>436</v>
      </c>
      <c r="G35" s="64">
        <f t="shared" si="0"/>
        <v>11</v>
      </c>
      <c r="H35" s="64">
        <f t="shared" si="3"/>
        <v>53</v>
      </c>
      <c r="I35" s="21">
        <f t="shared" si="4"/>
        <v>4.8699816866889583</v>
      </c>
      <c r="J35" s="21">
        <f t="shared" si="5"/>
        <v>11.242711328203722</v>
      </c>
      <c r="K35" s="21">
        <f t="shared" si="6"/>
        <v>0.71753246753246758</v>
      </c>
      <c r="L35" s="106">
        <f t="shared" si="7"/>
        <v>0.37340018472093939</v>
      </c>
      <c r="M35" s="26">
        <v>8</v>
      </c>
      <c r="N35" s="24">
        <v>7</v>
      </c>
      <c r="O35" s="43">
        <v>11</v>
      </c>
      <c r="P35" s="24"/>
      <c r="Q35" s="24"/>
      <c r="R35" s="24"/>
      <c r="S35" s="24"/>
      <c r="T35" s="26">
        <v>53</v>
      </c>
      <c r="U35" s="24">
        <v>13</v>
      </c>
      <c r="V35" s="43">
        <v>11</v>
      </c>
      <c r="W35" s="24"/>
      <c r="X35" s="24"/>
      <c r="Y35" s="24"/>
      <c r="Z35" s="27"/>
      <c r="AA35" s="28">
        <f>(PI()/4)*M35*N35*O35</f>
        <v>483.80526865282815</v>
      </c>
      <c r="AB35" s="20">
        <f>PI()/2*(M35*N35+N35*O35+M35*O35)</f>
        <v>347.14598822167216</v>
      </c>
      <c r="AC35" s="22">
        <f>AB35/AA35</f>
        <v>0.71753246753246758</v>
      </c>
      <c r="AD35" s="29">
        <f>10^(0.76*LOG(AA35)-0.352)</f>
        <v>48.792115800720552</v>
      </c>
      <c r="AE35" s="19">
        <v>483.80526865282798</v>
      </c>
      <c r="AF35" s="19">
        <v>347.14598822167198</v>
      </c>
      <c r="AG35" s="22">
        <v>0.71753246753246802</v>
      </c>
      <c r="AH35" s="19">
        <v>48.792115800720602</v>
      </c>
      <c r="AI35" s="28">
        <f>(PI()/4)*T35*U35*V35</f>
        <v>5952.5326803892613</v>
      </c>
      <c r="AJ35" s="20">
        <f>PI()/2*(T35*U35+U35*V35+T35*V35)</f>
        <v>2222.6768024147786</v>
      </c>
      <c r="AK35" s="22">
        <f>AJ35/AI35</f>
        <v>0.37340018472093939</v>
      </c>
      <c r="AL35" s="29">
        <f>10^(0.76*LOG(AI35)-0.352)</f>
        <v>328.68006123134086</v>
      </c>
      <c r="AM35" s="28">
        <v>5952.5326803892603</v>
      </c>
      <c r="AN35" s="20">
        <v>2222.67680241478</v>
      </c>
      <c r="AO35" s="22">
        <v>0.373400184720939</v>
      </c>
      <c r="AP35" s="29">
        <v>328.68006123134103</v>
      </c>
      <c r="AQ35" s="30">
        <f>MEDIAN(AD35,AL35)</f>
        <v>188.73608851603072</v>
      </c>
      <c r="AR35" s="31">
        <v>54</v>
      </c>
    </row>
    <row r="36" spans="1:51">
      <c r="A36">
        <v>33</v>
      </c>
      <c r="B36" t="str">
        <f t="shared" si="2"/>
        <v>Azp_tab_Size</v>
      </c>
      <c r="C36" s="1" t="s">
        <v>179</v>
      </c>
      <c r="D36" s="2" t="s">
        <v>178</v>
      </c>
      <c r="E36" s="2" t="s">
        <v>326</v>
      </c>
      <c r="F36" s="26" t="s">
        <v>434</v>
      </c>
      <c r="G36" s="64">
        <f t="shared" ref="G36:G63" si="8">MAX($M36:$S36)</f>
        <v>40</v>
      </c>
      <c r="H36" s="64">
        <f t="shared" si="3"/>
        <v>70</v>
      </c>
      <c r="I36" s="21">
        <f t="shared" si="4"/>
        <v>12.805791649874939</v>
      </c>
      <c r="J36" s="21">
        <f t="shared" si="5"/>
        <v>18.596524960695689</v>
      </c>
      <c r="K36" s="21">
        <f t="shared" si="6"/>
        <v>0.38571428571428568</v>
      </c>
      <c r="L36" s="106">
        <f t="shared" si="7"/>
        <v>0.34285714285714286</v>
      </c>
      <c r="M36" s="23">
        <v>40</v>
      </c>
      <c r="N36" s="24"/>
      <c r="O36" s="24">
        <v>7</v>
      </c>
      <c r="P36" s="24"/>
      <c r="Q36" s="24"/>
      <c r="R36" s="24"/>
      <c r="S36" s="24"/>
      <c r="T36" s="23">
        <v>70</v>
      </c>
      <c r="U36" s="24"/>
      <c r="V36" s="24">
        <v>7</v>
      </c>
      <c r="W36" s="24"/>
      <c r="X36" s="24"/>
      <c r="Y36" s="24"/>
      <c r="Z36" s="27"/>
      <c r="AA36" s="28">
        <f>(PI()/4)*M36^2*O36</f>
        <v>8796.4594300514218</v>
      </c>
      <c r="AB36" s="20">
        <f>PI()*M36*((M36/2)+O36)</f>
        <v>3392.9200658769764</v>
      </c>
      <c r="AC36" s="22">
        <f>AB36/AA36</f>
        <v>0.38571428571428568</v>
      </c>
      <c r="AD36" s="29">
        <f>10^(0.76*LOG(AA36)-0.352)</f>
        <v>442.25627847139111</v>
      </c>
      <c r="AE36" s="19">
        <v>8796.45943005142</v>
      </c>
      <c r="AF36" s="19">
        <v>3392.9200658769801</v>
      </c>
      <c r="AG36" s="22">
        <v>0.38571428571428601</v>
      </c>
      <c r="AH36" s="19">
        <v>442.256278471391</v>
      </c>
      <c r="AI36" s="28">
        <f>(PI()/4)*T36^2*V36</f>
        <v>26939.157004532477</v>
      </c>
      <c r="AJ36" s="20">
        <f>PI()*T36*((T36/2)+V36)</f>
        <v>9236.2824015539918</v>
      </c>
      <c r="AK36" s="22">
        <f>AJ36/AI36</f>
        <v>0.34285714285714286</v>
      </c>
      <c r="AL36" s="29">
        <f>10^(0.76*LOG(AI36)-0.352)</f>
        <v>1035.3610932875542</v>
      </c>
      <c r="AM36" s="28">
        <v>26939.157004532499</v>
      </c>
      <c r="AN36" s="20">
        <v>9236.28240155399</v>
      </c>
      <c r="AO36" s="22">
        <v>0.34285714285714303</v>
      </c>
      <c r="AP36" s="29">
        <v>1035.3610932875499</v>
      </c>
      <c r="AQ36" s="30">
        <f>MEDIAN(AD36,AL36)</f>
        <v>738.8086858794727</v>
      </c>
      <c r="AR36" s="31">
        <v>54</v>
      </c>
    </row>
    <row r="37" spans="1:51">
      <c r="A37">
        <v>34</v>
      </c>
      <c r="B37" t="str">
        <f t="shared" si="2"/>
        <v>Thal_olive_Size</v>
      </c>
      <c r="C37" s="1" t="s">
        <v>182</v>
      </c>
      <c r="D37" s="2" t="s">
        <v>183</v>
      </c>
      <c r="E37" s="2"/>
      <c r="F37" s="26" t="s">
        <v>434</v>
      </c>
      <c r="G37" s="64">
        <f t="shared" si="8"/>
        <v>23</v>
      </c>
      <c r="H37" s="64">
        <f t="shared" si="3"/>
        <v>60</v>
      </c>
      <c r="I37" s="21">
        <f t="shared" si="4"/>
        <v>10.294767505992899</v>
      </c>
      <c r="J37" s="21">
        <f t="shared" si="5"/>
        <v>27.256808892482102</v>
      </c>
      <c r="K37" s="21">
        <f t="shared" si="6"/>
        <v>0.35573122529644269</v>
      </c>
      <c r="L37" s="106">
        <f t="shared" si="7"/>
        <v>0.13333333333333333</v>
      </c>
      <c r="M37" s="26">
        <v>23</v>
      </c>
      <c r="N37" s="24"/>
      <c r="O37" s="42">
        <v>11</v>
      </c>
      <c r="P37" s="24"/>
      <c r="Q37" s="24"/>
      <c r="R37" s="24"/>
      <c r="S37" s="24"/>
      <c r="T37" s="26">
        <v>60</v>
      </c>
      <c r="U37" s="24"/>
      <c r="V37" s="42">
        <v>30</v>
      </c>
      <c r="W37" s="24"/>
      <c r="X37" s="24"/>
      <c r="Y37" s="24"/>
      <c r="Z37" s="27"/>
      <c r="AA37" s="28">
        <f>(PI()/4)*M37^2*O37</f>
        <v>4570.2319128097515</v>
      </c>
      <c r="AB37" s="20">
        <f>PI()*M37*((M37/2)+O37)</f>
        <v>1625.7741982327179</v>
      </c>
      <c r="AC37" s="22">
        <f>AB37/AA37</f>
        <v>0.35573122529644269</v>
      </c>
      <c r="AD37" s="29">
        <f>10^(0.76*LOG(AA37)-0.352)</f>
        <v>268.87663315485543</v>
      </c>
      <c r="AE37" s="19">
        <v>4570.2319128097497</v>
      </c>
      <c r="AF37" s="19">
        <v>1625.77419823272</v>
      </c>
      <c r="AG37" s="22">
        <v>0.35573122529644302</v>
      </c>
      <c r="AH37" s="19">
        <v>268.87663315485503</v>
      </c>
      <c r="AI37" s="28">
        <f>(PI()/4)*T37^2*V37</f>
        <v>84823.001646924415</v>
      </c>
      <c r="AJ37" s="20">
        <f>PI()*T37*((T37/2)+V37)</f>
        <v>11309.733552923255</v>
      </c>
      <c r="AK37" s="22">
        <f>AJ37/AI37</f>
        <v>0.13333333333333333</v>
      </c>
      <c r="AL37" s="29">
        <f>10^(0.76*LOG(AI37)-0.352)</f>
        <v>2475.5423707727518</v>
      </c>
      <c r="AM37" s="28">
        <v>84823.0016469244</v>
      </c>
      <c r="AN37" s="20">
        <v>11309.733552923301</v>
      </c>
      <c r="AO37" s="22">
        <v>0.133333333333333</v>
      </c>
      <c r="AP37" s="29">
        <v>2475.54237077275</v>
      </c>
      <c r="AQ37" s="30">
        <f>MEDIAN(AD37,AL37)</f>
        <v>1372.2095019638036</v>
      </c>
      <c r="AR37" s="31">
        <v>28</v>
      </c>
      <c r="AS37" s="32"/>
      <c r="AT37" s="32"/>
      <c r="AU37" s="32"/>
      <c r="AV37" s="32"/>
      <c r="AW37" s="33"/>
      <c r="AX37" s="34" t="s">
        <v>353</v>
      </c>
    </row>
    <row r="38" spans="1:51">
      <c r="A38">
        <v>35</v>
      </c>
      <c r="B38" t="str">
        <f t="shared" si="2"/>
        <v>Chaet_atlant_Size</v>
      </c>
      <c r="C38" s="1" t="s">
        <v>33</v>
      </c>
      <c r="D38" s="2" t="s">
        <v>4</v>
      </c>
      <c r="E38" s="2"/>
      <c r="F38" s="24" t="s">
        <v>436</v>
      </c>
      <c r="G38" s="64">
        <f t="shared" si="8"/>
        <v>19</v>
      </c>
      <c r="H38" s="64">
        <f t="shared" si="3"/>
        <v>40</v>
      </c>
      <c r="I38" s="21">
        <f t="shared" si="4"/>
        <v>8.623345618417245</v>
      </c>
      <c r="J38" s="21">
        <f t="shared" si="5"/>
        <v>16.115056064834498</v>
      </c>
      <c r="K38" s="21">
        <f t="shared" si="6"/>
        <v>0.41637426900584795</v>
      </c>
      <c r="L38" s="106">
        <f t="shared" si="7"/>
        <v>0.22562724014336918</v>
      </c>
      <c r="M38" s="24">
        <v>10</v>
      </c>
      <c r="N38" s="43">
        <v>18</v>
      </c>
      <c r="O38" s="24">
        <v>19</v>
      </c>
      <c r="P38" s="24"/>
      <c r="Q38" s="24"/>
      <c r="R38" s="24"/>
      <c r="S38" s="24"/>
      <c r="T38" s="24">
        <v>40</v>
      </c>
      <c r="U38" s="43">
        <v>18</v>
      </c>
      <c r="V38" s="24">
        <v>31</v>
      </c>
      <c r="W38" s="24"/>
      <c r="X38" s="24"/>
      <c r="Y38" s="24"/>
      <c r="Z38" s="24"/>
      <c r="AA38" s="20">
        <v>2686.0617188192732</v>
      </c>
      <c r="AB38" s="20">
        <v>1118.4069846779664</v>
      </c>
      <c r="AC38" s="22">
        <v>0.41637426900584795</v>
      </c>
      <c r="AD38" s="19">
        <v>179.52632901183395</v>
      </c>
      <c r="AE38" s="19">
        <v>2686.06171881927</v>
      </c>
      <c r="AF38" s="19">
        <v>1118.4069846779701</v>
      </c>
      <c r="AG38" s="22">
        <v>0.41637426900584801</v>
      </c>
      <c r="AH38" s="19">
        <v>179.52632901183401</v>
      </c>
      <c r="AI38" s="20">
        <v>17530.087007031045</v>
      </c>
      <c r="AJ38" s="20">
        <v>3955.2651508695494</v>
      </c>
      <c r="AK38" s="22">
        <v>0.22562724014336918</v>
      </c>
      <c r="AL38" s="19">
        <v>746.92310588358498</v>
      </c>
      <c r="AM38" s="20">
        <v>17530.087007031001</v>
      </c>
      <c r="AN38" s="20">
        <v>3955.2651508695499</v>
      </c>
      <c r="AO38" s="22">
        <v>0.22562724014336899</v>
      </c>
      <c r="AP38" s="19">
        <v>746.92310588358498</v>
      </c>
      <c r="AQ38" s="19">
        <v>463.22471744770951</v>
      </c>
      <c r="AR38" s="32">
        <v>2</v>
      </c>
      <c r="AS38" s="32">
        <v>54</v>
      </c>
      <c r="AT38" s="32"/>
      <c r="AU38" s="32"/>
      <c r="AV38" s="32"/>
      <c r="AW38" s="32"/>
      <c r="AX38" s="95"/>
      <c r="AY38" s="35" t="s">
        <v>327</v>
      </c>
    </row>
    <row r="39" spans="1:51">
      <c r="A39">
        <v>36</v>
      </c>
      <c r="B39" t="str">
        <f t="shared" si="2"/>
        <v>Thal_nitz_Size</v>
      </c>
      <c r="C39" s="1" t="s">
        <v>192</v>
      </c>
      <c r="D39" s="2" t="s">
        <v>74</v>
      </c>
      <c r="E39" s="2"/>
      <c r="F39" s="26" t="s">
        <v>437</v>
      </c>
      <c r="G39" s="64">
        <f t="shared" si="8"/>
        <v>110</v>
      </c>
      <c r="H39" s="64">
        <f>MAX($T39:$Z39)</f>
        <v>60</v>
      </c>
      <c r="I39" s="21">
        <f t="shared" si="4"/>
        <v>2.9902658734369902</v>
      </c>
      <c r="J39" s="21">
        <f t="shared" si="5"/>
        <v>8.6424994250454503</v>
      </c>
      <c r="K39" s="21">
        <f t="shared" si="6"/>
        <v>9.9860779158340502</v>
      </c>
      <c r="L39" s="106">
        <f t="shared" si="7"/>
        <v>220.4816367549723</v>
      </c>
      <c r="M39" s="26">
        <v>2</v>
      </c>
      <c r="N39" s="24">
        <v>3</v>
      </c>
      <c r="O39" s="24"/>
      <c r="P39" s="24"/>
      <c r="Q39" s="24"/>
      <c r="R39" s="24"/>
      <c r="S39" s="24">
        <v>110</v>
      </c>
      <c r="T39" s="26">
        <v>4</v>
      </c>
      <c r="U39" s="24">
        <v>8</v>
      </c>
      <c r="V39" s="24"/>
      <c r="W39" s="24"/>
      <c r="X39" s="24"/>
      <c r="Y39" s="24"/>
      <c r="Z39" s="72">
        <v>60</v>
      </c>
      <c r="AA39" s="28">
        <v>112</v>
      </c>
      <c r="AB39" s="22">
        <v>1.8666666666666667</v>
      </c>
      <c r="AC39" s="19">
        <v>9.9860779158340502</v>
      </c>
      <c r="AD39" s="29">
        <v>60</v>
      </c>
      <c r="AE39" s="19">
        <v>112</v>
      </c>
      <c r="AF39" s="22">
        <v>1.86666666666667</v>
      </c>
      <c r="AG39" s="19">
        <v>9.9860779158340502</v>
      </c>
      <c r="AH39" s="20">
        <v>3520</v>
      </c>
      <c r="AI39" s="28">
        <v>2704</v>
      </c>
      <c r="AJ39" s="22">
        <v>0.76818181818181819</v>
      </c>
      <c r="AK39" s="19">
        <v>220.4816367549723</v>
      </c>
      <c r="AL39" s="72">
        <v>3520</v>
      </c>
      <c r="AM39" s="28">
        <v>2704</v>
      </c>
      <c r="AN39" s="22">
        <v>0.76818181818181797</v>
      </c>
      <c r="AO39" s="19">
        <v>220.48163675497199</v>
      </c>
      <c r="AP39" s="29">
        <v>115.23385733540317</v>
      </c>
      <c r="AQ39" s="92">
        <v>24</v>
      </c>
      <c r="AR39" s="31">
        <v>54</v>
      </c>
      <c r="AS39" s="32"/>
      <c r="AT39" s="32"/>
      <c r="AU39" s="32"/>
      <c r="AV39" s="32"/>
      <c r="AW39" s="93"/>
      <c r="AX39" s="97" t="s">
        <v>348</v>
      </c>
    </row>
    <row r="40" spans="1:51">
      <c r="A40">
        <v>37</v>
      </c>
      <c r="B40" t="str">
        <f t="shared" si="2"/>
        <v>Nitz_bicap_Size</v>
      </c>
      <c r="C40" s="1" t="s">
        <v>195</v>
      </c>
      <c r="D40" s="2" t="s">
        <v>72</v>
      </c>
      <c r="E40" s="2"/>
      <c r="F40" s="26" t="s">
        <v>438</v>
      </c>
      <c r="G40" s="64">
        <f t="shared" si="8"/>
        <v>6</v>
      </c>
      <c r="H40" s="64">
        <f t="shared" si="3"/>
        <v>30</v>
      </c>
      <c r="I40" s="21">
        <f t="shared" si="4"/>
        <v>1.9275732104070491</v>
      </c>
      <c r="J40" s="21">
        <f t="shared" si="5"/>
        <v>4.2868844430600559</v>
      </c>
      <c r="K40" s="21">
        <f t="shared" si="6"/>
        <v>0.71666666666666667</v>
      </c>
      <c r="L40" s="106">
        <f t="shared" si="7"/>
        <v>0.59242424242424241</v>
      </c>
      <c r="M40" s="26">
        <v>6</v>
      </c>
      <c r="N40" s="24">
        <v>2.5</v>
      </c>
      <c r="O40" s="43">
        <v>4</v>
      </c>
      <c r="P40" s="24"/>
      <c r="Q40" s="24"/>
      <c r="R40" s="24"/>
      <c r="S40" s="24"/>
      <c r="T40" s="26">
        <v>30</v>
      </c>
      <c r="U40" s="24">
        <v>5.5</v>
      </c>
      <c r="V40" s="43">
        <v>4</v>
      </c>
      <c r="W40" s="24"/>
      <c r="X40" s="24"/>
      <c r="Y40" s="24"/>
      <c r="Z40" s="27"/>
      <c r="AA40" s="28">
        <v>30</v>
      </c>
      <c r="AB40" s="20">
        <v>21.5</v>
      </c>
      <c r="AC40" s="22">
        <v>0.71666666666666667</v>
      </c>
      <c r="AD40" s="29">
        <v>5.8967423675317541</v>
      </c>
      <c r="AE40" s="19">
        <v>30</v>
      </c>
      <c r="AF40" s="19">
        <v>21.5</v>
      </c>
      <c r="AG40" s="22">
        <v>0.71666666666666701</v>
      </c>
      <c r="AH40" s="19">
        <v>5.8967423675317496</v>
      </c>
      <c r="AI40" s="28">
        <v>330</v>
      </c>
      <c r="AJ40" s="20">
        <v>195.5</v>
      </c>
      <c r="AK40" s="22">
        <v>0.59242424242424241</v>
      </c>
      <c r="AL40" s="29">
        <v>36.481324227968955</v>
      </c>
      <c r="AM40" s="28">
        <v>330</v>
      </c>
      <c r="AN40" s="20">
        <v>195.5</v>
      </c>
      <c r="AO40" s="22">
        <v>0.59242424242424196</v>
      </c>
      <c r="AP40" s="29">
        <v>36.481324227968997</v>
      </c>
      <c r="AQ40" s="30">
        <v>21.189033297750356</v>
      </c>
      <c r="AR40" s="31">
        <v>54</v>
      </c>
      <c r="AW40" s="70"/>
      <c r="AX40" s="89"/>
    </row>
    <row r="41" spans="1:51">
      <c r="A41">
        <v>38</v>
      </c>
      <c r="B41" t="str">
        <f t="shared" si="2"/>
        <v>Hem_cune_Size</v>
      </c>
      <c r="C41" s="1" t="s">
        <v>197</v>
      </c>
      <c r="D41" s="2" t="s">
        <v>196</v>
      </c>
      <c r="E41" s="2"/>
      <c r="F41" s="107" t="s">
        <v>439</v>
      </c>
      <c r="G41" s="64">
        <f t="shared" si="8"/>
        <v>58</v>
      </c>
      <c r="H41" s="64">
        <f t="shared" si="3"/>
        <v>288</v>
      </c>
      <c r="I41" s="21">
        <f t="shared" si="4"/>
        <v>15.484815962330538</v>
      </c>
      <c r="J41" s="21">
        <f t="shared" si="5"/>
        <v>75.501232336029673</v>
      </c>
      <c r="K41" s="21">
        <f t="shared" si="6"/>
        <v>0.27617268750701468</v>
      </c>
      <c r="L41" s="106">
        <f t="shared" si="7"/>
        <v>1.6370853812835446E-2</v>
      </c>
      <c r="M41" s="26">
        <v>58</v>
      </c>
      <c r="N41" s="24">
        <v>32.5</v>
      </c>
      <c r="O41" s="42">
        <v>22</v>
      </c>
      <c r="P41" s="24"/>
      <c r="Q41" s="24"/>
      <c r="R41" s="24"/>
      <c r="S41" s="24"/>
      <c r="T41" s="26">
        <v>288</v>
      </c>
      <c r="U41" s="24">
        <v>158</v>
      </c>
      <c r="V41" s="42">
        <v>105</v>
      </c>
      <c r="W41" s="24"/>
      <c r="X41" s="24"/>
      <c r="Y41" s="24"/>
      <c r="Z41" s="27"/>
      <c r="AA41" s="28">
        <f>(2/3)*M41*O41^2*ASIN((N41/(2*O41)))</f>
        <v>15552.734335590811</v>
      </c>
      <c r="AB41" s="20">
        <f>(PI()/2)*M41*O41+N41*(O41+M41^2/(2*SQRT(M41^2-4*O41^2))*1/SIN(SQRT((M41^2-(4*O41^2)/M41))))</f>
        <v>4295.2404395427384</v>
      </c>
      <c r="AC41" s="22">
        <f>AB41/AA41</f>
        <v>0.27617268750701468</v>
      </c>
      <c r="AD41" s="29">
        <f>10^(0.76*LOG(AA41)-0.352)</f>
        <v>681.98234639177076</v>
      </c>
      <c r="AE41" s="19">
        <v>15552.7343355908</v>
      </c>
      <c r="AF41" s="19">
        <v>4295.2404395427402</v>
      </c>
      <c r="AG41" s="22">
        <v>0.27617268750701501</v>
      </c>
      <c r="AH41" s="19">
        <v>681.98234639177099</v>
      </c>
      <c r="AI41" s="28">
        <f>(2/3)*T41*V41^2*ASIN((U41/(2*V41)))</f>
        <v>1802813.2035075247</v>
      </c>
      <c r="AJ41" s="20">
        <f>(PI()/2)*T41*V41+U41*(V41+T41^2/(2*SQRT(T41^2-4*V41^2))*1/SIN(SQRT((T41^2-(4*V41^2)/T41))))</f>
        <v>29513.591406471245</v>
      </c>
      <c r="AK41" s="22">
        <f>AJ41/AI41</f>
        <v>1.6370853812835446E-2</v>
      </c>
      <c r="AL41" s="29">
        <f>10^(0.76*LOG(AI41)-0.352)</f>
        <v>25265.189203282094</v>
      </c>
      <c r="AM41" s="28">
        <v>1802813.20350752</v>
      </c>
      <c r="AN41" s="20">
        <v>29513.591406471201</v>
      </c>
      <c r="AO41" s="22">
        <v>1.6370853812835401E-2</v>
      </c>
      <c r="AP41" s="29">
        <v>25265.189203282102</v>
      </c>
      <c r="AQ41" s="30">
        <f>MEDIAN(AD41,AL41)</f>
        <v>12973.585774836933</v>
      </c>
      <c r="AR41" s="31">
        <v>52</v>
      </c>
      <c r="AW41" s="70"/>
      <c r="AX41" s="89"/>
    </row>
    <row r="42" spans="1:51">
      <c r="A42">
        <v>39</v>
      </c>
      <c r="B42" t="str">
        <f t="shared" si="2"/>
        <v>Rope_tess_Size</v>
      </c>
      <c r="C42" s="1" t="s">
        <v>200</v>
      </c>
      <c r="D42" s="2" t="s">
        <v>73</v>
      </c>
      <c r="E42" s="2"/>
      <c r="F42" s="26" t="s">
        <v>434</v>
      </c>
      <c r="G42" s="64">
        <f t="shared" si="8"/>
        <v>40</v>
      </c>
      <c r="H42" s="64">
        <f t="shared" si="3"/>
        <v>70</v>
      </c>
      <c r="I42" s="21">
        <f t="shared" si="4"/>
        <v>18.171205928321388</v>
      </c>
      <c r="J42" s="21">
        <f t="shared" si="5"/>
        <v>31.79961037456243</v>
      </c>
      <c r="K42" s="21">
        <f t="shared" si="6"/>
        <v>0.19999999999999998</v>
      </c>
      <c r="L42" s="106">
        <f t="shared" si="7"/>
        <v>0.1142857142857143</v>
      </c>
      <c r="M42" s="26">
        <v>40</v>
      </c>
      <c r="N42" s="60"/>
      <c r="O42" s="42">
        <v>20</v>
      </c>
      <c r="P42" s="24"/>
      <c r="Q42" s="24"/>
      <c r="R42" s="24"/>
      <c r="S42" s="24"/>
      <c r="T42" s="26">
        <v>70</v>
      </c>
      <c r="U42" s="60"/>
      <c r="V42" s="42">
        <v>35</v>
      </c>
      <c r="W42" s="24"/>
      <c r="X42" s="24"/>
      <c r="Y42" s="24"/>
      <c r="Z42" s="27"/>
      <c r="AA42" s="28">
        <f>(PI()/4)*M42^2*O42</f>
        <v>25132.741228718347</v>
      </c>
      <c r="AB42" s="20">
        <f>PI()*M42*((M42/2)+O42)</f>
        <v>5026.5482457436692</v>
      </c>
      <c r="AC42" s="22">
        <f>AB42/AA42</f>
        <v>0.19999999999999998</v>
      </c>
      <c r="AD42" s="29">
        <f>10^(0.76*LOG(AA42)-0.352)</f>
        <v>982.16011426661919</v>
      </c>
      <c r="AE42" s="19">
        <v>25132.7412287183</v>
      </c>
      <c r="AF42" s="19">
        <v>5026.5482457436701</v>
      </c>
      <c r="AG42" s="22">
        <v>0.2</v>
      </c>
      <c r="AH42" s="19">
        <v>982.16011426661896</v>
      </c>
      <c r="AI42" s="28">
        <f>(PI()/4)*T42^2*V42</f>
        <v>134695.78502266237</v>
      </c>
      <c r="AJ42" s="20">
        <f>PI()*T42*((T42/2)+V42)</f>
        <v>15393.804002589986</v>
      </c>
      <c r="AK42" s="22">
        <f>AJ42/AI42</f>
        <v>0.1142857142857143</v>
      </c>
      <c r="AL42" s="29">
        <f>10^(0.76*LOG(AI42)-0.352)</f>
        <v>3518.1070030396463</v>
      </c>
      <c r="AM42" s="28">
        <v>134695.78502266199</v>
      </c>
      <c r="AN42" s="20">
        <v>15393.804002590001</v>
      </c>
      <c r="AO42" s="22">
        <v>0.114285714285714</v>
      </c>
      <c r="AP42" s="29">
        <v>3518.10700303965</v>
      </c>
      <c r="AQ42" s="30">
        <f>MEDIAN(AD42,AL42)</f>
        <v>2250.1335586531327</v>
      </c>
      <c r="AR42" s="31">
        <v>20</v>
      </c>
      <c r="AW42" s="70"/>
      <c r="AX42" s="89"/>
    </row>
    <row r="43" spans="1:51">
      <c r="A43">
        <v>40</v>
      </c>
      <c r="B43" t="str">
        <f t="shared" si="2"/>
        <v>Thala_line_Size</v>
      </c>
      <c r="C43" s="1" t="s">
        <v>203</v>
      </c>
      <c r="D43" s="2" t="s">
        <v>204</v>
      </c>
      <c r="E43" s="2"/>
      <c r="F43" s="26" t="s">
        <v>434</v>
      </c>
      <c r="G43" s="64">
        <f t="shared" si="8"/>
        <v>9</v>
      </c>
      <c r="H43" s="64">
        <f t="shared" si="3"/>
        <v>45</v>
      </c>
      <c r="I43" s="21">
        <f t="shared" si="4"/>
        <v>3.9311120913133437</v>
      </c>
      <c r="J43" s="21">
        <f t="shared" si="5"/>
        <v>20.290044217464295</v>
      </c>
      <c r="K43" s="21">
        <f t="shared" si="6"/>
        <v>0.94444444444444453</v>
      </c>
      <c r="L43" s="106">
        <f t="shared" si="7"/>
        <v>0.17979797979797982</v>
      </c>
      <c r="M43" s="26">
        <v>9</v>
      </c>
      <c r="N43" s="60"/>
      <c r="O43" s="42">
        <v>4</v>
      </c>
      <c r="P43" s="24"/>
      <c r="Q43" s="24"/>
      <c r="R43" s="24"/>
      <c r="S43" s="24"/>
      <c r="T43" s="26">
        <v>45</v>
      </c>
      <c r="U43" s="60"/>
      <c r="V43" s="42">
        <v>22</v>
      </c>
      <c r="W43" s="24"/>
      <c r="X43" s="24"/>
      <c r="Y43" s="24"/>
      <c r="Z43" s="27"/>
      <c r="AA43" s="28">
        <v>254.46900494077323</v>
      </c>
      <c r="AB43" s="20">
        <v>240.33183799961918</v>
      </c>
      <c r="AC43" s="22">
        <v>0.94444444444444453</v>
      </c>
      <c r="AD43" s="29">
        <v>29.942118002703985</v>
      </c>
      <c r="AE43" s="19">
        <v>254.469004940773</v>
      </c>
      <c r="AF43" s="19">
        <v>240.33183799961901</v>
      </c>
      <c r="AG43" s="22">
        <v>0.94444444444444497</v>
      </c>
      <c r="AH43" s="19">
        <v>29.942118002703999</v>
      </c>
      <c r="AI43" s="28">
        <v>34989.488179356318</v>
      </c>
      <c r="AJ43" s="20">
        <v>6291.0392888135611</v>
      </c>
      <c r="AK43" s="22">
        <v>0.17979797979797982</v>
      </c>
      <c r="AL43" s="29">
        <v>1262.968643526071</v>
      </c>
      <c r="AM43" s="28">
        <v>34989.488179356304</v>
      </c>
      <c r="AN43" s="20">
        <v>6291.0392888135602</v>
      </c>
      <c r="AO43" s="22">
        <v>0.17979797979798001</v>
      </c>
      <c r="AP43" s="29">
        <v>1262.9686435260701</v>
      </c>
      <c r="AQ43" s="30">
        <v>646.45538076438743</v>
      </c>
      <c r="AR43" s="31">
        <v>54</v>
      </c>
      <c r="AW43" s="70"/>
      <c r="AX43" s="89"/>
    </row>
    <row r="44" spans="1:51">
      <c r="A44">
        <v>41</v>
      </c>
      <c r="B44" t="str">
        <f t="shared" si="2"/>
        <v>Thala_ecc_Size</v>
      </c>
      <c r="C44" s="1" t="s">
        <v>208</v>
      </c>
      <c r="D44" s="2" t="s">
        <v>206</v>
      </c>
      <c r="E44" s="2"/>
      <c r="F44" s="26" t="s">
        <v>434</v>
      </c>
      <c r="G44" s="64">
        <f t="shared" si="8"/>
        <v>15</v>
      </c>
      <c r="H44" s="64">
        <f t="shared" si="3"/>
        <v>110</v>
      </c>
      <c r="I44" s="21">
        <f t="shared" si="4"/>
        <v>4.7247039371057742</v>
      </c>
      <c r="J44" s="21">
        <f t="shared" si="5"/>
        <v>35.667462448641537</v>
      </c>
      <c r="K44" s="21">
        <f t="shared" si="6"/>
        <v>1.0666666666666667</v>
      </c>
      <c r="L44" s="106">
        <f t="shared" si="7"/>
        <v>0.13636363636363635</v>
      </c>
      <c r="M44" s="26">
        <v>15</v>
      </c>
      <c r="N44" s="24"/>
      <c r="O44" s="42">
        <v>2.5</v>
      </c>
      <c r="P44" s="24"/>
      <c r="Q44" s="24"/>
      <c r="R44" s="24"/>
      <c r="S44" s="24"/>
      <c r="T44" s="26">
        <v>110</v>
      </c>
      <c r="U44" s="24"/>
      <c r="V44" s="42">
        <v>20</v>
      </c>
      <c r="W44" s="24"/>
      <c r="X44" s="24"/>
      <c r="Y44" s="24"/>
      <c r="Z44" s="24"/>
      <c r="AA44" s="28">
        <v>441.78646691106462</v>
      </c>
      <c r="AB44" s="20">
        <v>471.23889803846896</v>
      </c>
      <c r="AC44" s="22">
        <v>1.0666666666666667</v>
      </c>
      <c r="AD44" s="29">
        <v>45.536686963682008</v>
      </c>
      <c r="AE44" s="19">
        <v>441.78646691106502</v>
      </c>
      <c r="AF44" s="19">
        <v>471.23889803846902</v>
      </c>
      <c r="AG44" s="22">
        <v>1.06666666666667</v>
      </c>
      <c r="AH44" s="19">
        <v>45.536686963682001</v>
      </c>
      <c r="AI44" s="28">
        <v>190066.35554218251</v>
      </c>
      <c r="AJ44" s="20">
        <v>25918.139392115794</v>
      </c>
      <c r="AK44" s="22">
        <v>0.13636363636363635</v>
      </c>
      <c r="AL44" s="29">
        <v>4570.5449870685934</v>
      </c>
      <c r="AM44" s="28">
        <v>190066.35554218301</v>
      </c>
      <c r="AN44" s="20">
        <v>25918.139392115801</v>
      </c>
      <c r="AO44" s="22">
        <v>0.13636363636363599</v>
      </c>
      <c r="AP44" s="29">
        <v>4570.5449870685898</v>
      </c>
      <c r="AQ44" s="30">
        <v>2308.0408370161376</v>
      </c>
      <c r="AR44" s="32">
        <v>54</v>
      </c>
      <c r="AS44" s="32"/>
      <c r="AT44" s="32"/>
      <c r="AU44" s="32"/>
      <c r="AV44" s="32"/>
      <c r="AW44" s="32"/>
      <c r="AX44" s="94" t="s">
        <v>350</v>
      </c>
      <c r="AY44" s="35" t="s">
        <v>351</v>
      </c>
    </row>
    <row r="45" spans="1:51">
      <c r="A45">
        <v>42</v>
      </c>
      <c r="B45" t="str">
        <f t="shared" si="2"/>
        <v>Thala_oest_Size</v>
      </c>
      <c r="C45" s="1" t="s">
        <v>355</v>
      </c>
      <c r="D45" s="2" t="s">
        <v>354</v>
      </c>
      <c r="E45" s="2"/>
      <c r="F45" s="26" t="s">
        <v>434</v>
      </c>
      <c r="G45" s="64">
        <f t="shared" si="8"/>
        <v>7</v>
      </c>
      <c r="H45" s="64">
        <f t="shared" si="3"/>
        <v>60</v>
      </c>
      <c r="I45" s="21">
        <f t="shared" si="4"/>
        <v>3.0206903089901371</v>
      </c>
      <c r="J45" s="21">
        <f t="shared" si="5"/>
        <v>27.256808892482102</v>
      </c>
      <c r="K45" s="21">
        <f t="shared" si="6"/>
        <v>1.2380952380952381</v>
      </c>
      <c r="L45" s="106">
        <f t="shared" si="7"/>
        <v>0.13333333333333333</v>
      </c>
      <c r="M45" s="26">
        <v>7</v>
      </c>
      <c r="N45" s="24"/>
      <c r="O45" s="42">
        <v>3</v>
      </c>
      <c r="P45" s="24"/>
      <c r="Q45" s="24"/>
      <c r="R45" s="24"/>
      <c r="S45" s="24"/>
      <c r="T45" s="26">
        <v>60</v>
      </c>
      <c r="U45" s="24"/>
      <c r="V45" s="42">
        <v>30</v>
      </c>
      <c r="W45" s="24"/>
      <c r="X45" s="24"/>
      <c r="Y45" s="24"/>
      <c r="Z45" s="27"/>
      <c r="AA45" s="28">
        <v>115.45353001942489</v>
      </c>
      <c r="AB45" s="20">
        <v>142.94246573833559</v>
      </c>
      <c r="AC45" s="22">
        <v>1.2380952380952381</v>
      </c>
      <c r="AD45" s="29">
        <v>16.422129943296632</v>
      </c>
      <c r="AE45" s="19">
        <v>115.453530019425</v>
      </c>
      <c r="AF45" s="19">
        <v>142.94246573833601</v>
      </c>
      <c r="AG45" s="22">
        <v>1.2380952380952399</v>
      </c>
      <c r="AH45" s="19">
        <v>16.4221299432966</v>
      </c>
      <c r="AI45" s="28">
        <v>84823.001646924415</v>
      </c>
      <c r="AJ45" s="20">
        <v>11309.733552923255</v>
      </c>
      <c r="AK45" s="22">
        <v>0.13333333333333333</v>
      </c>
      <c r="AL45" s="29">
        <v>2475.5423707727518</v>
      </c>
      <c r="AM45" s="28">
        <v>84823.0016469244</v>
      </c>
      <c r="AN45" s="20">
        <v>11309.733552923301</v>
      </c>
      <c r="AO45" s="22">
        <v>0.133333333333333</v>
      </c>
      <c r="AP45" s="29">
        <v>2475.54237077275</v>
      </c>
      <c r="AQ45" s="30">
        <v>1245.9822503580242</v>
      </c>
      <c r="AR45" s="31">
        <v>54</v>
      </c>
    </row>
    <row r="46" spans="1:51">
      <c r="A46">
        <v>43</v>
      </c>
      <c r="B46" t="str">
        <f t="shared" si="2"/>
        <v>Trich_rein_Size</v>
      </c>
      <c r="C46" s="1" t="s">
        <v>213</v>
      </c>
      <c r="D46" s="2" t="s">
        <v>212</v>
      </c>
      <c r="E46" s="2"/>
      <c r="F46" s="26" t="s">
        <v>437</v>
      </c>
      <c r="G46" s="64">
        <f t="shared" si="8"/>
        <v>800</v>
      </c>
      <c r="H46" s="64">
        <f t="shared" si="3"/>
        <v>3500</v>
      </c>
      <c r="I46" s="21">
        <f t="shared" si="4"/>
        <v>18.837494593627721</v>
      </c>
      <c r="J46" s="21">
        <f t="shared" si="5"/>
        <v>46.457256616939631</v>
      </c>
      <c r="K46" s="21">
        <f t="shared" si="6"/>
        <v>0.68821428571428567</v>
      </c>
      <c r="L46" s="106">
        <f t="shared" si="7"/>
        <v>0.38390476190476192</v>
      </c>
      <c r="M46" s="26">
        <v>800</v>
      </c>
      <c r="N46" s="24">
        <v>5</v>
      </c>
      <c r="O46" s="43">
        <v>7</v>
      </c>
      <c r="P46" s="24"/>
      <c r="Q46" s="24"/>
      <c r="R46" s="24"/>
      <c r="S46" s="24"/>
      <c r="T46" s="26">
        <v>3500</v>
      </c>
      <c r="U46" s="24">
        <v>8</v>
      </c>
      <c r="V46" s="43">
        <v>15</v>
      </c>
      <c r="W46" s="60"/>
      <c r="X46" s="60"/>
      <c r="Y46" s="60"/>
      <c r="Z46" s="62"/>
      <c r="AA46" s="28">
        <f>M46*N46*O46</f>
        <v>28000</v>
      </c>
      <c r="AB46" s="20">
        <f>2*M46*N46+2*N46*O46+2*M46*O46</f>
        <v>19270</v>
      </c>
      <c r="AC46" s="22">
        <f>AB46/AA46</f>
        <v>0.68821428571428567</v>
      </c>
      <c r="AD46" s="29">
        <f>10^(0.76*LOG(AA46)-0.352)</f>
        <v>1066.2034999533314</v>
      </c>
      <c r="AE46" s="19">
        <v>28000</v>
      </c>
      <c r="AF46" s="19">
        <v>19270</v>
      </c>
      <c r="AG46" s="22">
        <v>0.688214285714286</v>
      </c>
      <c r="AH46" s="19">
        <v>1066.20349995333</v>
      </c>
      <c r="AI46" s="28">
        <f>T46*U46*V46</f>
        <v>420000</v>
      </c>
      <c r="AJ46" s="20">
        <f>2*T46*U46+2*U46*V46+2*T46*V46</f>
        <v>161240</v>
      </c>
      <c r="AK46" s="22">
        <f>AJ46/AI46</f>
        <v>0.38390476190476192</v>
      </c>
      <c r="AL46" s="29">
        <f>10^(0.76*LOG(AI46)-0.352)</f>
        <v>8349.672870262295</v>
      </c>
      <c r="AM46" s="28">
        <v>420000</v>
      </c>
      <c r="AN46" s="20">
        <v>161240</v>
      </c>
      <c r="AO46" s="22">
        <v>0.38390476190476203</v>
      </c>
      <c r="AP46" s="29">
        <v>8349.6728702622895</v>
      </c>
      <c r="AQ46" s="30">
        <f>MEDIAN(AD46,AL46)</f>
        <v>4707.9381851078133</v>
      </c>
      <c r="AR46" s="31">
        <v>0</v>
      </c>
      <c r="AS46" s="32"/>
      <c r="AT46" s="32"/>
      <c r="AU46" s="32"/>
      <c r="AV46" s="32"/>
      <c r="AW46" s="33"/>
      <c r="AX46" s="44"/>
      <c r="AY46" s="35" t="s">
        <v>356</v>
      </c>
    </row>
    <row r="47" spans="1:51">
      <c r="A47">
        <v>44</v>
      </c>
      <c r="B47" t="str">
        <f t="shared" si="2"/>
        <v>Rhizo_ant_semi_Size</v>
      </c>
      <c r="C47" s="1" t="s">
        <v>218</v>
      </c>
      <c r="D47" s="2" t="s">
        <v>219</v>
      </c>
      <c r="E47" s="2"/>
      <c r="F47" s="26" t="s">
        <v>434</v>
      </c>
      <c r="G47" s="64">
        <f t="shared" si="8"/>
        <v>80</v>
      </c>
      <c r="H47" s="64">
        <f t="shared" si="3"/>
        <v>200</v>
      </c>
      <c r="I47" s="21">
        <f t="shared" si="4"/>
        <v>16.938648519858511</v>
      </c>
      <c r="J47" s="21">
        <f t="shared" si="5"/>
        <v>42.346621299646259</v>
      </c>
      <c r="K47" s="21">
        <f t="shared" si="6"/>
        <v>0.24722222222222223</v>
      </c>
      <c r="L47" s="106">
        <f t="shared" si="7"/>
        <v>9.8888888888888901E-2</v>
      </c>
      <c r="M47" s="26">
        <v>18</v>
      </c>
      <c r="N47" s="24"/>
      <c r="O47" s="49">
        <v>80</v>
      </c>
      <c r="P47" s="24"/>
      <c r="Q47" s="24"/>
      <c r="R47" s="24"/>
      <c r="S47" s="24"/>
      <c r="T47" s="26">
        <v>45</v>
      </c>
      <c r="U47" s="24"/>
      <c r="V47" s="49">
        <v>200</v>
      </c>
      <c r="W47" s="24"/>
      <c r="X47" s="24"/>
      <c r="Y47" s="24"/>
      <c r="Z47" s="27"/>
      <c r="AA47" s="28">
        <f>(PI()/4)*M47^2*O47</f>
        <v>20357.520395261858</v>
      </c>
      <c r="AB47" s="20">
        <f>PI()*M47*((M47/2)+O47)</f>
        <v>5032.8314310508486</v>
      </c>
      <c r="AC47" s="22">
        <f>AB47/AA47</f>
        <v>0.24722222222222223</v>
      </c>
      <c r="AD47" s="29">
        <f>10^(0.76*LOG(AA47)-0.352)</f>
        <v>836.8177965020227</v>
      </c>
      <c r="AE47" s="19">
        <v>20357.520395261901</v>
      </c>
      <c r="AF47" s="19">
        <v>5032.8314310508504</v>
      </c>
      <c r="AG47" s="22">
        <v>0.24722222222222201</v>
      </c>
      <c r="AH47" s="19">
        <v>836.81779650202304</v>
      </c>
      <c r="AI47" s="28">
        <f>(PI()/4)*T47^2*V47</f>
        <v>318086.25617596653</v>
      </c>
      <c r="AJ47" s="20">
        <f>PI()*T47*((T47/2)+V47)</f>
        <v>31455.196444067806</v>
      </c>
      <c r="AK47" s="22">
        <f>AJ47/AI47</f>
        <v>9.8888888888888901E-2</v>
      </c>
      <c r="AL47" s="29">
        <f>10^(0.76*LOG(AI47)-0.352)</f>
        <v>6759.8043687749378</v>
      </c>
      <c r="AM47" s="28">
        <v>318086.25617596699</v>
      </c>
      <c r="AN47" s="20">
        <v>31455.196444067798</v>
      </c>
      <c r="AO47" s="22">
        <v>9.8888888888888901E-2</v>
      </c>
      <c r="AP47" s="29">
        <v>6759.8043687749396</v>
      </c>
      <c r="AQ47" s="30">
        <f>MEDIAN(AD47,AL47)</f>
        <v>3798.3110826384805</v>
      </c>
      <c r="AR47" s="31">
        <v>54</v>
      </c>
      <c r="AS47" s="32"/>
      <c r="AT47" s="32"/>
      <c r="AU47" s="32"/>
      <c r="AV47" s="32"/>
      <c r="AW47" s="32"/>
      <c r="AX47" s="96"/>
      <c r="AY47" s="35" t="s">
        <v>346</v>
      </c>
    </row>
    <row r="48" spans="1:51">
      <c r="A48">
        <v>45</v>
      </c>
      <c r="B48" t="str">
        <f t="shared" si="2"/>
        <v>Rhizo_poly_Size</v>
      </c>
      <c r="C48" s="1" t="s">
        <v>225</v>
      </c>
      <c r="D48" s="2" t="s">
        <v>221</v>
      </c>
      <c r="E48" s="2"/>
      <c r="F48" s="26" t="s">
        <v>434</v>
      </c>
      <c r="G48" s="64">
        <f t="shared" si="8"/>
        <v>150</v>
      </c>
      <c r="H48" s="64">
        <f t="shared" si="3"/>
        <v>1500</v>
      </c>
      <c r="I48" s="21">
        <f t="shared" si="4"/>
        <v>18.496590557478523</v>
      </c>
      <c r="J48" s="21">
        <f t="shared" si="5"/>
        <v>145.82222137555382</v>
      </c>
      <c r="K48" s="21">
        <f t="shared" si="6"/>
        <v>0.27999999999999997</v>
      </c>
      <c r="L48" s="106">
        <f t="shared" si="7"/>
        <v>3.9428571428571438E-2</v>
      </c>
      <c r="M48" s="26">
        <v>15</v>
      </c>
      <c r="N48" s="24"/>
      <c r="O48" s="49">
        <v>150</v>
      </c>
      <c r="P48" s="24"/>
      <c r="Q48" s="24"/>
      <c r="R48" s="24"/>
      <c r="S48" s="24"/>
      <c r="T48" s="26">
        <v>105</v>
      </c>
      <c r="U48" s="24"/>
      <c r="V48" s="49">
        <v>1500</v>
      </c>
      <c r="W48" s="24"/>
      <c r="X48" s="24"/>
      <c r="Y48" s="24"/>
      <c r="Z48" s="27"/>
      <c r="AA48" s="28">
        <f>(PI()/4)*M48^2*O48</f>
        <v>26507.18801466388</v>
      </c>
      <c r="AB48" s="20">
        <f>PI()*M48*((M48/2)+O48)</f>
        <v>7422.0126441058856</v>
      </c>
      <c r="AC48" s="22">
        <f>AB48/AA48</f>
        <v>0.27999999999999997</v>
      </c>
      <c r="AD48" s="29">
        <f>10^(0.76*LOG(AA48)-0.352)</f>
        <v>1022.7191322748487</v>
      </c>
      <c r="AE48" s="19">
        <v>26507.188014663901</v>
      </c>
      <c r="AF48" s="19">
        <v>7422.0126441058901</v>
      </c>
      <c r="AG48" s="22">
        <v>0.28000000000000003</v>
      </c>
      <c r="AH48" s="19">
        <v>1022.71913227485</v>
      </c>
      <c r="AI48" s="28">
        <f>(PI()/4)*T48^2*V48</f>
        <v>12988522.1271853</v>
      </c>
      <c r="AJ48" s="20">
        <f>PI()*T48*((T48/2)+V48)</f>
        <v>512118.8724433062</v>
      </c>
      <c r="AK48" s="22">
        <f>AJ48/AI48</f>
        <v>3.9428571428571438E-2</v>
      </c>
      <c r="AL48" s="29">
        <f>10^(0.76*LOG(AI48)-0.352)</f>
        <v>113319.69613782869</v>
      </c>
      <c r="AM48" s="28">
        <v>12988522.1271853</v>
      </c>
      <c r="AN48" s="20">
        <v>512118.87244330603</v>
      </c>
      <c r="AO48" s="22">
        <v>3.9428571428571403E-2</v>
      </c>
      <c r="AP48" s="29">
        <v>113319.696137829</v>
      </c>
      <c r="AQ48" s="30">
        <f>MEDIAN(AD48,AL48)</f>
        <v>57171.207635051767</v>
      </c>
      <c r="AR48" s="31">
        <v>24</v>
      </c>
      <c r="AS48" s="32">
        <v>54</v>
      </c>
    </row>
    <row r="49" spans="1:50">
      <c r="A49">
        <v>46</v>
      </c>
      <c r="B49" t="str">
        <f t="shared" si="2"/>
        <v>Rhizo_curv_Size</v>
      </c>
      <c r="C49" s="1" t="s">
        <v>226</v>
      </c>
      <c r="D49" s="2" t="s">
        <v>222</v>
      </c>
      <c r="E49" s="2"/>
      <c r="F49" s="26" t="s">
        <v>434</v>
      </c>
      <c r="G49" s="64">
        <f t="shared" si="8"/>
        <v>20</v>
      </c>
      <c r="H49" s="64">
        <f t="shared" si="3"/>
        <v>135</v>
      </c>
      <c r="I49" s="21">
        <f t="shared" si="4"/>
        <v>6.0822019955734001</v>
      </c>
      <c r="J49" s="21">
        <f t="shared" si="5"/>
        <v>40.192109723431251</v>
      </c>
      <c r="K49" s="21">
        <f t="shared" si="6"/>
        <v>0.86666666666666659</v>
      </c>
      <c r="L49" s="106">
        <f t="shared" si="7"/>
        <v>0.13489278752436648</v>
      </c>
      <c r="M49" s="26">
        <v>20</v>
      </c>
      <c r="N49" s="24"/>
      <c r="O49" s="25">
        <v>3</v>
      </c>
      <c r="P49" s="24"/>
      <c r="Q49" s="24"/>
      <c r="R49" s="24"/>
      <c r="S49" s="24"/>
      <c r="T49" s="26">
        <v>135</v>
      </c>
      <c r="U49" s="24"/>
      <c r="V49" s="25">
        <v>19</v>
      </c>
      <c r="W49" s="24"/>
      <c r="X49" s="24"/>
      <c r="Y49" s="24"/>
      <c r="Z49" s="24"/>
      <c r="AA49" s="28">
        <f>(PI()/4)*M49^2*O49</f>
        <v>942.47779607693792</v>
      </c>
      <c r="AB49" s="20">
        <f>PI()*M49*((M49/2)+O49)</f>
        <v>816.81408993334617</v>
      </c>
      <c r="AC49" s="22">
        <f>AB49/AA49</f>
        <v>0.86666666666666659</v>
      </c>
      <c r="AD49" s="29">
        <f>10^(0.76*LOG(AA49)-0.352)</f>
        <v>80.992733538765506</v>
      </c>
      <c r="AE49" s="19">
        <v>942.47779607693803</v>
      </c>
      <c r="AF49" s="19">
        <v>816.81408993334605</v>
      </c>
      <c r="AG49" s="22">
        <v>0.86666666666666703</v>
      </c>
      <c r="AH49" s="19">
        <v>80.992733538765506</v>
      </c>
      <c r="AI49" s="28">
        <f>(PI()/4)*T49^2*V49</f>
        <v>271963.74903045141</v>
      </c>
      <c r="AJ49" s="20">
        <f>PI()*T49*((T49/2)+V49)</f>
        <v>36685.94821229481</v>
      </c>
      <c r="AK49" s="22">
        <f>AJ49/AI49</f>
        <v>0.13489278752436648</v>
      </c>
      <c r="AL49" s="29">
        <f>10^(0.76*LOG(AI49)-0.352)</f>
        <v>6001.0656060745996</v>
      </c>
      <c r="AM49" s="28">
        <v>271963.749030451</v>
      </c>
      <c r="AN49" s="20">
        <v>36685.948212294803</v>
      </c>
      <c r="AO49" s="22">
        <v>0.13489278752436601</v>
      </c>
      <c r="AP49" s="29">
        <v>6001.0656060745996</v>
      </c>
      <c r="AQ49" s="30">
        <f>MEDIAN(AD49,AL49)</f>
        <v>3041.0291698066826</v>
      </c>
      <c r="AR49" s="32">
        <v>28</v>
      </c>
    </row>
    <row r="50" spans="1:50">
      <c r="A50">
        <v>47</v>
      </c>
      <c r="B50" t="str">
        <f t="shared" si="2"/>
        <v>Rhizo_crass_Size</v>
      </c>
      <c r="C50" s="1" t="s">
        <v>227</v>
      </c>
      <c r="D50" s="2" t="s">
        <v>342</v>
      </c>
      <c r="E50" s="2"/>
      <c r="F50" s="26" t="s">
        <v>434</v>
      </c>
      <c r="G50" s="64">
        <f t="shared" si="8"/>
        <v>100</v>
      </c>
      <c r="H50" s="64">
        <f t="shared" si="3"/>
        <v>165</v>
      </c>
      <c r="I50" s="21">
        <f t="shared" si="4"/>
        <v>45.428014820803497</v>
      </c>
      <c r="J50" s="21">
        <f t="shared" si="5"/>
        <v>63.432679185861879</v>
      </c>
      <c r="K50" s="21">
        <f t="shared" si="6"/>
        <v>0.08</v>
      </c>
      <c r="L50" s="106">
        <f t="shared" si="7"/>
        <v>6.4242424242424254E-2</v>
      </c>
      <c r="M50" s="26">
        <v>100</v>
      </c>
      <c r="O50">
        <v>50</v>
      </c>
      <c r="T50" s="26">
        <v>165</v>
      </c>
      <c r="V50">
        <v>50</v>
      </c>
      <c r="Z50" s="70"/>
      <c r="AA50" s="28">
        <v>392699.08169872413</v>
      </c>
      <c r="AB50" s="20">
        <v>31415.926535897932</v>
      </c>
      <c r="AC50" s="22">
        <v>0.08</v>
      </c>
      <c r="AD50" s="29">
        <v>7933.8779110679943</v>
      </c>
      <c r="AE50" s="19">
        <v>16336.2817986669</v>
      </c>
      <c r="AF50" s="19">
        <v>4146.9023027385301</v>
      </c>
      <c r="AG50" s="22">
        <v>0.253846153846154</v>
      </c>
      <c r="AH50" s="19">
        <v>707.93998842135295</v>
      </c>
      <c r="AI50" s="28">
        <v>1069123.2499247764</v>
      </c>
      <c r="AJ50" s="20">
        <v>68683.069389106851</v>
      </c>
      <c r="AK50" s="22">
        <v>6.4242424242424254E-2</v>
      </c>
      <c r="AL50" s="29">
        <v>16984.826242981886</v>
      </c>
      <c r="AM50" s="28">
        <v>1065628.22809766</v>
      </c>
      <c r="AN50" s="20">
        <v>66853.0916683908</v>
      </c>
      <c r="AO50" s="22">
        <v>6.2735849056603801E-2</v>
      </c>
      <c r="AP50" s="29">
        <v>16942.6111856106</v>
      </c>
      <c r="AQ50" s="30">
        <v>12459.352077024942</v>
      </c>
      <c r="AR50" s="65"/>
    </row>
    <row r="51" spans="1:50">
      <c r="A51">
        <v>48</v>
      </c>
      <c r="B51" t="str">
        <f t="shared" si="2"/>
        <v>Rhizo_sima_Size</v>
      </c>
      <c r="C51" s="1" t="s">
        <v>228</v>
      </c>
      <c r="D51" s="2" t="s">
        <v>224</v>
      </c>
      <c r="E51" s="2"/>
      <c r="F51" s="26" t="s">
        <v>434</v>
      </c>
      <c r="G51" s="64">
        <f t="shared" si="8"/>
        <v>150</v>
      </c>
      <c r="H51" s="64">
        <f t="shared" si="3"/>
        <v>300</v>
      </c>
      <c r="I51" s="21">
        <f t="shared" si="4"/>
        <v>15.939878537739165</v>
      </c>
      <c r="J51" s="21">
        <f t="shared" si="5"/>
        <v>27.282023346168842</v>
      </c>
      <c r="K51" s="21">
        <f t="shared" si="6"/>
        <v>0.34666666666666662</v>
      </c>
      <c r="L51" s="106">
        <f t="shared" si="7"/>
        <v>0.21719298245614033</v>
      </c>
      <c r="M51" s="24">
        <v>12</v>
      </c>
      <c r="O51">
        <v>150</v>
      </c>
      <c r="S51" s="65"/>
      <c r="T51" s="24">
        <v>19</v>
      </c>
      <c r="V51">
        <v>300</v>
      </c>
      <c r="Y51" s="70"/>
      <c r="Z51" s="65"/>
      <c r="AA51" s="20">
        <v>16964.600329384884</v>
      </c>
      <c r="AB51" s="20">
        <v>5881.0614475200928</v>
      </c>
      <c r="AC51" s="76">
        <v>0.34666666666666662</v>
      </c>
      <c r="AD51" s="19">
        <v>728.53959622843615</v>
      </c>
      <c r="AE51" s="19">
        <v>16336.2817986669</v>
      </c>
      <c r="AF51" s="19">
        <v>4146.9023027385301</v>
      </c>
      <c r="AG51" s="22">
        <v>0.253846153846154</v>
      </c>
      <c r="AH51" s="80">
        <v>707.93998842135295</v>
      </c>
      <c r="AI51" s="20">
        <v>85058.621095943643</v>
      </c>
      <c r="AJ51" s="20">
        <v>18474.135599434776</v>
      </c>
      <c r="AK51" s="76">
        <v>0.21719298245614033</v>
      </c>
      <c r="AL51" s="80">
        <v>2480.7667757264076</v>
      </c>
      <c r="AM51" s="20">
        <v>1065628.22809766</v>
      </c>
      <c r="AN51" s="20">
        <v>66853.0916683908</v>
      </c>
      <c r="AO51" s="76">
        <v>6.2735849056603801E-2</v>
      </c>
      <c r="AP51" s="30">
        <v>16942.6111856106</v>
      </c>
      <c r="AQ51" s="80">
        <v>1604.6531859774218</v>
      </c>
      <c r="AV51" s="70"/>
      <c r="AW51" s="89"/>
    </row>
    <row r="52" spans="1:50">
      <c r="A52">
        <v>49</v>
      </c>
      <c r="B52" t="str">
        <f t="shared" si="2"/>
        <v>Frag_curta_Size</v>
      </c>
      <c r="C52" s="8" t="s">
        <v>263</v>
      </c>
      <c r="D52" s="6" t="s">
        <v>259</v>
      </c>
      <c r="E52" s="6"/>
      <c r="F52" s="24" t="s">
        <v>436</v>
      </c>
      <c r="G52" s="64">
        <f t="shared" si="8"/>
        <v>10</v>
      </c>
      <c r="H52" s="64">
        <f t="shared" si="3"/>
        <v>42</v>
      </c>
      <c r="I52" s="21">
        <f t="shared" si="4"/>
        <v>2.842578412851485</v>
      </c>
      <c r="J52" s="21">
        <f t="shared" si="5"/>
        <v>6.5692787098318348</v>
      </c>
      <c r="K52" s="21">
        <f t="shared" si="6"/>
        <v>1.342857142857143</v>
      </c>
      <c r="L52" s="106">
        <f t="shared" si="7"/>
        <v>0.71428571428571419</v>
      </c>
      <c r="M52" s="26">
        <v>10</v>
      </c>
      <c r="N52" s="24">
        <v>3.5</v>
      </c>
      <c r="O52" s="42">
        <v>3.5</v>
      </c>
      <c r="P52" s="24"/>
      <c r="Q52" s="24"/>
      <c r="R52" s="24"/>
      <c r="S52" s="24"/>
      <c r="T52" s="26">
        <v>42</v>
      </c>
      <c r="U52" s="24">
        <v>6</v>
      </c>
      <c r="V52" s="42">
        <v>6</v>
      </c>
      <c r="W52" s="24"/>
      <c r="X52" s="24"/>
      <c r="Y52" s="24"/>
      <c r="Z52" s="27"/>
      <c r="AA52" s="28">
        <f>(PI()/4)*M52*N52*O52</f>
        <v>96.211275016187415</v>
      </c>
      <c r="AB52" s="20">
        <f>PI()/2*(M52*N52+N52*O52+M52*O52)</f>
        <v>129.19799787888024</v>
      </c>
      <c r="AC52" s="22">
        <f>AB52/AA52</f>
        <v>1.342857142857143</v>
      </c>
      <c r="AD52" s="29">
        <f>10^(0.76*LOG(AA52)-0.352)</f>
        <v>14.297224519019091</v>
      </c>
      <c r="AE52" s="19">
        <v>96.2112750161874</v>
      </c>
      <c r="AF52" s="19">
        <v>129.19799787887999</v>
      </c>
      <c r="AG52" s="22">
        <v>1.3428571428571401</v>
      </c>
      <c r="AH52" s="19">
        <v>14.2972245190191</v>
      </c>
      <c r="AI52" s="28">
        <f>(PI()/4)*T52*U52*V52</f>
        <v>1187.5220230569419</v>
      </c>
      <c r="AJ52" s="20">
        <f>PI()/2*(T52*U52+U52*V52+T52*V52)</f>
        <v>848.23001646924411</v>
      </c>
      <c r="AK52" s="22">
        <f>AJ52/AI52</f>
        <v>0.71428571428571419</v>
      </c>
      <c r="AL52" s="29">
        <f>10^(0.76*LOG(AI52)-0.352)</f>
        <v>96.544529661713156</v>
      </c>
      <c r="AM52" s="28">
        <v>1187.52202305694</v>
      </c>
      <c r="AN52" s="20">
        <v>848.23001646924399</v>
      </c>
      <c r="AO52" s="22">
        <v>0.71428571428571397</v>
      </c>
      <c r="AP52" s="29">
        <v>96.544529661713199</v>
      </c>
      <c r="AQ52" s="30">
        <f>MEDIAN(AD52,AL52)</f>
        <v>55.420877090366119</v>
      </c>
      <c r="AR52" s="31">
        <v>54</v>
      </c>
      <c r="AS52" s="32"/>
      <c r="AT52" s="32"/>
      <c r="AU52" s="32"/>
      <c r="AV52" s="32"/>
      <c r="AW52" s="33"/>
      <c r="AX52" s="34" t="s">
        <v>336</v>
      </c>
    </row>
    <row r="53" spans="1:50">
      <c r="A53">
        <v>50</v>
      </c>
      <c r="B53" t="str">
        <f t="shared" si="2"/>
        <v>Frag_cylin_Size</v>
      </c>
      <c r="C53" s="8" t="s">
        <v>35</v>
      </c>
      <c r="D53" s="6" t="s">
        <v>53</v>
      </c>
      <c r="E53" s="6"/>
      <c r="F53" s="24" t="s">
        <v>436</v>
      </c>
      <c r="G53" s="64">
        <f t="shared" si="8"/>
        <v>3</v>
      </c>
      <c r="H53" s="64">
        <f t="shared" si="3"/>
        <v>48</v>
      </c>
      <c r="I53" s="21">
        <f t="shared" si="4"/>
        <v>1.3103706971044482</v>
      </c>
      <c r="J53" s="21">
        <f t="shared" si="5"/>
        <v>4.7622031559045981</v>
      </c>
      <c r="K53" s="21">
        <f t="shared" si="6"/>
        <v>2.6666666666666665</v>
      </c>
      <c r="L53" s="106">
        <f t="shared" si="7"/>
        <v>1.2083333333333333</v>
      </c>
      <c r="M53" s="26">
        <v>3</v>
      </c>
      <c r="N53" s="24">
        <v>2</v>
      </c>
      <c r="O53" s="43">
        <v>2</v>
      </c>
      <c r="P53" s="24"/>
      <c r="Q53" s="24"/>
      <c r="R53" s="24"/>
      <c r="S53" s="24"/>
      <c r="T53" s="26">
        <v>48</v>
      </c>
      <c r="U53" s="24">
        <v>4</v>
      </c>
      <c r="V53" s="43">
        <v>3</v>
      </c>
      <c r="W53" s="24"/>
      <c r="X53" s="24"/>
      <c r="Y53" s="24"/>
      <c r="Z53" s="27"/>
      <c r="AA53" s="28">
        <f>(PI()/4)*M53*N53*O53</f>
        <v>9.4247779607693793</v>
      </c>
      <c r="AB53" s="20">
        <f>PI()/2*(M53*N53+N53*O53+M53*O53)</f>
        <v>25.132741228718345</v>
      </c>
      <c r="AC53" s="22">
        <f>AB53/AA53</f>
        <v>2.6666666666666665</v>
      </c>
      <c r="AD53" s="29">
        <f>10^(0.76*LOG(AA53)-0.352)</f>
        <v>2.4459414499045686</v>
      </c>
      <c r="AE53" s="19">
        <v>9.4247779607693793</v>
      </c>
      <c r="AF53" s="19">
        <v>25.132741228718299</v>
      </c>
      <c r="AG53" s="22">
        <v>2.6666666666666701</v>
      </c>
      <c r="AH53" s="19">
        <v>2.44594144990457</v>
      </c>
      <c r="AI53" s="28">
        <f>(PI()/4)*T53*U53*V53</f>
        <v>452.38934211693021</v>
      </c>
      <c r="AJ53" s="20">
        <f>PI()/2*(T53*U53+U53*V53+T53*V53)</f>
        <v>546.63712172462397</v>
      </c>
      <c r="AK53" s="22">
        <f>AJ53/AI53</f>
        <v>1.2083333333333333</v>
      </c>
      <c r="AL53" s="29">
        <f>10^(0.76*LOG(AI53)-0.352)</f>
        <v>46.364907452641205</v>
      </c>
      <c r="AM53" s="28">
        <v>452.38934211692998</v>
      </c>
      <c r="AN53" s="20">
        <v>546.63712172462397</v>
      </c>
      <c r="AO53" s="22">
        <v>1.2083333333333299</v>
      </c>
      <c r="AP53" s="29">
        <v>46.364907452641198</v>
      </c>
      <c r="AQ53" s="30">
        <f>MEDIAN(AD53,AL53)</f>
        <v>24.405424451272889</v>
      </c>
      <c r="AR53" s="31">
        <v>54</v>
      </c>
      <c r="AS53" s="32"/>
      <c r="AT53" s="32"/>
      <c r="AU53" s="32"/>
      <c r="AV53" s="32"/>
      <c r="AW53" s="33"/>
      <c r="AX53" s="44"/>
    </row>
    <row r="54" spans="1:50">
      <c r="A54">
        <v>51</v>
      </c>
      <c r="B54" t="str">
        <f t="shared" si="2"/>
        <v>Frag_rits_Size</v>
      </c>
      <c r="C54" s="8" t="s">
        <v>264</v>
      </c>
      <c r="D54" s="6" t="s">
        <v>260</v>
      </c>
      <c r="E54" s="6"/>
      <c r="F54" s="24" t="s">
        <v>436</v>
      </c>
      <c r="G54" s="64">
        <f t="shared" si="8"/>
        <v>0</v>
      </c>
      <c r="H54" s="64">
        <f t="shared" si="3"/>
        <v>0</v>
      </c>
      <c r="I54" s="21">
        <f t="shared" si="4"/>
        <v>0</v>
      </c>
      <c r="J54" s="21">
        <f t="shared" si="5"/>
        <v>0</v>
      </c>
      <c r="K54" s="21">
        <f t="shared" si="6"/>
        <v>0</v>
      </c>
      <c r="L54" s="106">
        <f t="shared" si="7"/>
        <v>0</v>
      </c>
      <c r="M54" s="65"/>
      <c r="T54" s="65"/>
      <c r="Z54" s="70"/>
      <c r="AA54" s="65"/>
      <c r="AD54" s="70"/>
      <c r="AI54" s="65"/>
      <c r="AL54" s="70"/>
      <c r="AM54" s="65"/>
      <c r="AP54" s="70"/>
      <c r="AQ54" s="89"/>
      <c r="AR54" s="65"/>
    </row>
    <row r="55" spans="1:50">
      <c r="A55">
        <v>52</v>
      </c>
      <c r="B55" t="str">
        <f t="shared" si="2"/>
        <v>Frag_sep_Size</v>
      </c>
      <c r="C55" s="8" t="s">
        <v>265</v>
      </c>
      <c r="D55" s="6" t="s">
        <v>261</v>
      </c>
      <c r="E55" s="6"/>
      <c r="F55" s="24" t="s">
        <v>436</v>
      </c>
      <c r="G55" s="64">
        <f t="shared" si="8"/>
        <v>0</v>
      </c>
      <c r="H55" s="64">
        <f t="shared" si="3"/>
        <v>0</v>
      </c>
      <c r="I55" s="21">
        <f t="shared" si="4"/>
        <v>0</v>
      </c>
      <c r="J55" s="21">
        <f t="shared" si="5"/>
        <v>0</v>
      </c>
      <c r="K55" s="21">
        <f t="shared" si="6"/>
        <v>0</v>
      </c>
      <c r="L55" s="106">
        <f t="shared" si="7"/>
        <v>0</v>
      </c>
      <c r="M55" s="65"/>
      <c r="T55" s="65"/>
      <c r="Z55" s="70"/>
      <c r="AA55" s="65"/>
      <c r="AD55" s="70"/>
      <c r="AI55" s="65"/>
      <c r="AL55" s="70"/>
      <c r="AM55" s="65"/>
      <c r="AP55" s="70"/>
      <c r="AQ55" s="89"/>
      <c r="AR55" s="65"/>
      <c r="AW55" s="70"/>
      <c r="AX55" s="89"/>
    </row>
    <row r="56" spans="1:50">
      <c r="A56">
        <v>53</v>
      </c>
      <c r="B56" t="str">
        <f t="shared" si="2"/>
        <v>Core_crio_Size</v>
      </c>
      <c r="C56" s="1" t="s">
        <v>34</v>
      </c>
      <c r="D56" s="2" t="s">
        <v>5</v>
      </c>
      <c r="E56" s="2"/>
      <c r="F56" s="26" t="s">
        <v>435</v>
      </c>
      <c r="G56" s="64">
        <f t="shared" si="8"/>
        <v>20</v>
      </c>
      <c r="H56" s="64">
        <f t="shared" si="3"/>
        <v>200</v>
      </c>
      <c r="I56" s="21">
        <f t="shared" si="4"/>
        <v>4.4129354191575789</v>
      </c>
      <c r="J56" s="21">
        <f t="shared" si="5"/>
        <v>24.384994805366563</v>
      </c>
      <c r="K56" s="21">
        <f t="shared" si="6"/>
        <v>0.8727272727272728</v>
      </c>
      <c r="L56" s="106">
        <f t="shared" si="7"/>
        <v>0.20689655172413793</v>
      </c>
      <c r="M56" s="26">
        <v>20</v>
      </c>
      <c r="N56" s="24">
        <v>5</v>
      </c>
      <c r="O56" s="24"/>
      <c r="P56" s="24"/>
      <c r="Q56" s="24"/>
      <c r="R56" s="24"/>
      <c r="S56" s="24"/>
      <c r="T56" s="26">
        <v>200</v>
      </c>
      <c r="U56" s="24">
        <v>20</v>
      </c>
      <c r="V56" s="24"/>
      <c r="W56" s="24"/>
      <c r="X56" s="24"/>
      <c r="Y56" s="24"/>
      <c r="Z56" s="27"/>
      <c r="AA56" s="28">
        <v>359.97415822383044</v>
      </c>
      <c r="AB56" s="20">
        <v>314.15926535897933</v>
      </c>
      <c r="AC56" s="22">
        <v>0.8727272727272728</v>
      </c>
      <c r="AD56" s="29">
        <v>38.973212624312048</v>
      </c>
      <c r="AE56" s="19">
        <v>359.97415822382999</v>
      </c>
      <c r="AF56" s="19">
        <v>314.15926535897898</v>
      </c>
      <c r="AG56" s="22">
        <v>0.87272727272727302</v>
      </c>
      <c r="AH56" s="19">
        <v>38.973212624311998</v>
      </c>
      <c r="AI56" s="28">
        <v>60737.457969402676</v>
      </c>
      <c r="AJ56" s="20">
        <v>12566.370614359173</v>
      </c>
      <c r="AK56" s="22">
        <v>0.20689655172413793</v>
      </c>
      <c r="AL56" s="29">
        <v>1920.5562203484362</v>
      </c>
      <c r="AM56" s="28">
        <v>60737.457969402698</v>
      </c>
      <c r="AN56" s="20">
        <v>12566.370614359201</v>
      </c>
      <c r="AO56" s="22">
        <v>0.20689655172413801</v>
      </c>
      <c r="AP56" s="29">
        <v>1920.5562203484401</v>
      </c>
      <c r="AQ56" s="30">
        <v>979.76471648637414</v>
      </c>
      <c r="AR56" s="31">
        <v>54</v>
      </c>
    </row>
    <row r="57" spans="1:50">
      <c r="A57">
        <v>54</v>
      </c>
      <c r="B57" t="str">
        <f t="shared" si="2"/>
        <v>Core_penn_Size</v>
      </c>
      <c r="C57" s="1" t="s">
        <v>275</v>
      </c>
      <c r="D57" s="2" t="s">
        <v>276</v>
      </c>
      <c r="E57" s="2" t="s">
        <v>332</v>
      </c>
      <c r="F57" s="26" t="s">
        <v>435</v>
      </c>
      <c r="G57" s="64">
        <f t="shared" si="8"/>
        <v>100</v>
      </c>
      <c r="H57" s="64">
        <f t="shared" si="3"/>
        <v>100</v>
      </c>
      <c r="I57" s="21">
        <f t="shared" si="4"/>
        <v>12.192497402683282</v>
      </c>
      <c r="J57" s="21">
        <f t="shared" si="5"/>
        <v>12.192497402683282</v>
      </c>
      <c r="K57" s="21">
        <f t="shared" si="6"/>
        <v>0.41379310344827586</v>
      </c>
      <c r="L57" s="106">
        <f t="shared" si="7"/>
        <v>0.41379310344827586</v>
      </c>
      <c r="M57" s="23">
        <v>100</v>
      </c>
      <c r="N57" s="42">
        <v>10</v>
      </c>
      <c r="O57" s="24"/>
      <c r="P57" s="24"/>
      <c r="Q57" s="24"/>
      <c r="R57" s="24"/>
      <c r="S57" s="24"/>
      <c r="T57" s="23">
        <v>100</v>
      </c>
      <c r="U57" s="42">
        <v>10</v>
      </c>
      <c r="V57" s="24"/>
      <c r="W57" s="24"/>
      <c r="X57" s="24"/>
      <c r="Y57" s="24"/>
      <c r="Z57" s="27"/>
      <c r="AA57" s="28">
        <f>PI()*N57^2*((M57/4)-(N57/12))</f>
        <v>7592.1822461753345</v>
      </c>
      <c r="AB57" s="20">
        <f>PI()*M57*N57</f>
        <v>3141.5926535897934</v>
      </c>
      <c r="AC57" s="22">
        <f>AB57/AA57</f>
        <v>0.41379310344827586</v>
      </c>
      <c r="AD57" s="29">
        <f>10^(0.76*LOG(AA57)-0.352)</f>
        <v>395.43821280908361</v>
      </c>
      <c r="AE57" s="19">
        <v>7592.18224617533</v>
      </c>
      <c r="AF57" s="19">
        <v>3141.5926535897902</v>
      </c>
      <c r="AG57" s="22">
        <v>0.41379310344827602</v>
      </c>
      <c r="AH57" s="19">
        <v>395.43821280908401</v>
      </c>
      <c r="AI57" s="28">
        <f>PI()*U57^2*((T57/4)-(U57/12))</f>
        <v>7592.1822461753345</v>
      </c>
      <c r="AJ57" s="20">
        <f>PI()*T57*U57</f>
        <v>3141.5926535897934</v>
      </c>
      <c r="AK57" s="22">
        <f>AJ57/AI57</f>
        <v>0.41379310344827586</v>
      </c>
      <c r="AL57" s="29">
        <f>10^(0.76*LOG(AI57)-0.352)</f>
        <v>395.43821280908361</v>
      </c>
      <c r="AM57" s="28">
        <v>7592.18224617533</v>
      </c>
      <c r="AN57" s="20">
        <v>3141.5926535897902</v>
      </c>
      <c r="AO57" s="22">
        <v>0.41379310344827602</v>
      </c>
      <c r="AP57" s="29">
        <v>395.43821280908401</v>
      </c>
      <c r="AQ57" s="30">
        <f>MEDIAN(AD57,AL57)</f>
        <v>395.43821280908361</v>
      </c>
      <c r="AR57" s="31"/>
      <c r="AS57" s="32"/>
      <c r="AT57" s="32"/>
      <c r="AU57" s="32"/>
      <c r="AV57" s="32"/>
      <c r="AW57" s="32"/>
      <c r="AX57" s="94" t="s">
        <v>333</v>
      </c>
    </row>
    <row r="58" spans="1:50">
      <c r="A58">
        <v>55</v>
      </c>
      <c r="B58" t="str">
        <f t="shared" si="2"/>
        <v>Core_inerme_Size</v>
      </c>
      <c r="C58" s="1" t="s">
        <v>278</v>
      </c>
      <c r="D58" s="2" t="s">
        <v>279</v>
      </c>
      <c r="E58" s="2"/>
      <c r="F58" s="26" t="s">
        <v>435</v>
      </c>
      <c r="G58" s="64">
        <f t="shared" si="8"/>
        <v>40</v>
      </c>
      <c r="H58" s="64">
        <f t="shared" si="3"/>
        <v>350</v>
      </c>
      <c r="I58" s="21">
        <f t="shared" si="4"/>
        <v>17.099759466766972</v>
      </c>
      <c r="J58" s="21">
        <f t="shared" si="5"/>
        <v>46.570095078038364</v>
      </c>
      <c r="K58" s="21">
        <f t="shared" si="6"/>
        <v>0.18</v>
      </c>
      <c r="L58" s="106">
        <f t="shared" si="7"/>
        <v>0.10396039603960394</v>
      </c>
      <c r="M58" s="26">
        <v>30</v>
      </c>
      <c r="N58" s="24">
        <v>40</v>
      </c>
      <c r="O58" s="24"/>
      <c r="P58" s="24"/>
      <c r="Q58" s="24"/>
      <c r="R58" s="24"/>
      <c r="S58" s="24"/>
      <c r="T58" s="26">
        <v>350</v>
      </c>
      <c r="U58" s="24">
        <v>40</v>
      </c>
      <c r="V58" s="24"/>
      <c r="W58" s="24"/>
      <c r="X58" s="24"/>
      <c r="Y58" s="24"/>
      <c r="Z58" s="27"/>
      <c r="AA58" s="28">
        <v>20943.951023931953</v>
      </c>
      <c r="AB58" s="20">
        <v>3769.9111843077517</v>
      </c>
      <c r="AC58" s="22">
        <v>0.18</v>
      </c>
      <c r="AD58" s="29">
        <v>855.07566410575089</v>
      </c>
      <c r="AE58" s="19">
        <v>20943.951023932001</v>
      </c>
      <c r="AF58" s="19">
        <v>3769.9111843077499</v>
      </c>
      <c r="AG58" s="22">
        <v>0.18</v>
      </c>
      <c r="AH58" s="19">
        <v>855.075664105751</v>
      </c>
      <c r="AI58" s="28">
        <v>423067.81068342552</v>
      </c>
      <c r="AJ58" s="20">
        <v>43982.297150257102</v>
      </c>
      <c r="AK58" s="22">
        <v>0.10396039603960394</v>
      </c>
      <c r="AL58" s="29">
        <v>8395.9837072440969</v>
      </c>
      <c r="AM58" s="28">
        <v>423067.81068342598</v>
      </c>
      <c r="AN58" s="20">
        <v>43982.297150257102</v>
      </c>
      <c r="AO58" s="22">
        <v>0.103960396039604</v>
      </c>
      <c r="AP58" s="29">
        <v>8395.9837072441005</v>
      </c>
      <c r="AQ58" s="30">
        <v>4625.5296856749237</v>
      </c>
      <c r="AR58" s="31">
        <v>54</v>
      </c>
      <c r="AW58" s="70"/>
      <c r="AX58" s="89"/>
    </row>
    <row r="59" spans="1:50">
      <c r="A59">
        <v>56</v>
      </c>
      <c r="B59" t="str">
        <f t="shared" si="2"/>
        <v>Euc_antarc_Size</v>
      </c>
      <c r="C59" s="1" t="s">
        <v>293</v>
      </c>
      <c r="D59" s="2" t="s">
        <v>69</v>
      </c>
      <c r="E59" s="2"/>
      <c r="F59" s="24" t="s">
        <v>436</v>
      </c>
      <c r="G59" s="64">
        <f t="shared" si="8"/>
        <v>18</v>
      </c>
      <c r="H59" s="64">
        <f t="shared" si="3"/>
        <v>92</v>
      </c>
      <c r="I59" s="21">
        <f t="shared" si="4"/>
        <v>6.7469121679131225</v>
      </c>
      <c r="J59" s="21">
        <f t="shared" si="5"/>
        <v>26.688463082283789</v>
      </c>
      <c r="K59" s="21">
        <f t="shared" si="6"/>
        <v>0.55067155067155071</v>
      </c>
      <c r="L59" s="106">
        <f t="shared" si="7"/>
        <v>0.16148504695020913</v>
      </c>
      <c r="M59" s="26">
        <v>18</v>
      </c>
      <c r="N59" s="43">
        <v>7</v>
      </c>
      <c r="O59" s="43">
        <v>13</v>
      </c>
      <c r="P59" s="24"/>
      <c r="Q59" s="24"/>
      <c r="R59" s="24"/>
      <c r="S59" s="24"/>
      <c r="T59" s="26">
        <v>92</v>
      </c>
      <c r="U59" s="43">
        <v>19</v>
      </c>
      <c r="V59" s="43">
        <v>58</v>
      </c>
      <c r="W59" s="24"/>
      <c r="X59" s="24"/>
      <c r="Y59" s="24"/>
      <c r="Z59" s="27"/>
      <c r="AA59" s="28">
        <f>(PI()/4)*M59*N59*O59</f>
        <v>1286.4821916450203</v>
      </c>
      <c r="AB59" s="20">
        <f>PI()/2*(M59*N59+N59*O59+M59*O59)</f>
        <v>708.42914338449839</v>
      </c>
      <c r="AC59" s="22">
        <f>AB59/AA59</f>
        <v>0.55067155067155071</v>
      </c>
      <c r="AD59" s="29">
        <f>10^(0.76*LOG(AA59)-0.352)</f>
        <v>102.59988450096181</v>
      </c>
      <c r="AE59" s="19">
        <v>1286.4821916450201</v>
      </c>
      <c r="AF59" s="19">
        <v>708.42914338449805</v>
      </c>
      <c r="AG59" s="22">
        <v>0.55067155067155105</v>
      </c>
      <c r="AH59" s="19">
        <v>102.59988450096201</v>
      </c>
      <c r="AI59" s="28">
        <f>(PI()/4)*T59*U59*V59</f>
        <v>79626.807397886892</v>
      </c>
      <c r="AJ59" s="20">
        <f>PI()/2*(T59*U59+U59*V59+T59*V59)</f>
        <v>12858.538731143024</v>
      </c>
      <c r="AK59" s="22">
        <f>AJ59/AI59</f>
        <v>0.16148504695020913</v>
      </c>
      <c r="AL59" s="29">
        <f>10^(0.76*LOG(AI59)-0.352)</f>
        <v>2359.4189894520919</v>
      </c>
      <c r="AM59" s="28">
        <v>79626.807397886907</v>
      </c>
      <c r="AN59" s="20">
        <v>12858.538731143</v>
      </c>
      <c r="AO59" s="22">
        <v>0.16148504695020899</v>
      </c>
      <c r="AP59" s="29">
        <v>2359.41898945209</v>
      </c>
      <c r="AQ59" s="30">
        <f>MEDIAN(AD59,AL59)</f>
        <v>1231.0094369765268</v>
      </c>
      <c r="AR59" s="31">
        <v>6</v>
      </c>
      <c r="AS59" s="32">
        <v>54</v>
      </c>
    </row>
    <row r="60" spans="1:50">
      <c r="A60">
        <v>57</v>
      </c>
      <c r="B60" t="str">
        <f t="shared" si="2"/>
        <v>Dact_antarc_Size</v>
      </c>
      <c r="C60" s="1" t="s">
        <v>300</v>
      </c>
      <c r="D60" s="2" t="s">
        <v>68</v>
      </c>
      <c r="E60" s="2"/>
      <c r="F60" s="26" t="s">
        <v>434</v>
      </c>
      <c r="G60" s="64">
        <f t="shared" si="8"/>
        <v>21</v>
      </c>
      <c r="H60" s="64">
        <f t="shared" si="3"/>
        <v>140</v>
      </c>
      <c r="I60" s="21">
        <f t="shared" si="4"/>
        <v>8.7304324644153528</v>
      </c>
      <c r="J60" s="21">
        <f t="shared" si="5"/>
        <v>59.685858118445886</v>
      </c>
      <c r="K60" s="21">
        <f t="shared" si="6"/>
        <v>0.40293040293040294</v>
      </c>
      <c r="L60" s="106">
        <f t="shared" si="7"/>
        <v>5.8730158730158737E-2</v>
      </c>
      <c r="M60" s="26">
        <v>13</v>
      </c>
      <c r="N60" s="24"/>
      <c r="O60" s="42">
        <v>21</v>
      </c>
      <c r="P60" s="24"/>
      <c r="Q60" s="24"/>
      <c r="R60" s="24"/>
      <c r="S60" s="24"/>
      <c r="T60" s="26">
        <v>90</v>
      </c>
      <c r="U60" s="24"/>
      <c r="V60" s="24">
        <v>140</v>
      </c>
      <c r="W60" s="24"/>
      <c r="X60" s="24"/>
      <c r="Y60" s="24"/>
      <c r="Z60" s="24"/>
      <c r="AA60" s="28">
        <f>(PI()/4)*M60^2*O60</f>
        <v>2787.3780818975442</v>
      </c>
      <c r="AB60" s="20">
        <f>PI()*M60*((M60/2)+O60)</f>
        <v>1123.1193736583512</v>
      </c>
      <c r="AC60" s="22">
        <f>AB60/AA60</f>
        <v>0.40293040293040294</v>
      </c>
      <c r="AD60" s="29">
        <f>10^(0.76*LOG(AA60)-0.352)</f>
        <v>184.64981179988379</v>
      </c>
      <c r="AE60" s="19">
        <v>2787.3780818975401</v>
      </c>
      <c r="AF60" s="19">
        <v>1123.11937365835</v>
      </c>
      <c r="AG60" s="22">
        <v>0.402930402930403</v>
      </c>
      <c r="AH60" s="19">
        <v>184.64981179988399</v>
      </c>
      <c r="AI60" s="28">
        <f>(PI()/4)*T60^2*V60</f>
        <v>890641.5172927063</v>
      </c>
      <c r="AJ60" s="20">
        <f>PI()*T60*((T60/2)+V60)</f>
        <v>52307.51768227006</v>
      </c>
      <c r="AK60" s="22">
        <f>AJ60/AI60</f>
        <v>5.8730158730158737E-2</v>
      </c>
      <c r="AL60" s="29">
        <f>10^(0.76*LOG(AI60)-0.352)</f>
        <v>14783.396710742452</v>
      </c>
      <c r="AM60" s="28">
        <v>890641.51729270595</v>
      </c>
      <c r="AN60" s="20">
        <v>52307.517682270103</v>
      </c>
      <c r="AO60" s="22">
        <v>5.8730158730158702E-2</v>
      </c>
      <c r="AP60" s="29">
        <v>14783.3967107425</v>
      </c>
      <c r="AQ60" s="30">
        <f>MEDIAN(AD60,AL60)</f>
        <v>7484.0232612711679</v>
      </c>
      <c r="AR60" s="32">
        <v>54</v>
      </c>
      <c r="AS60" s="32"/>
      <c r="AT60" s="32"/>
      <c r="AU60" s="32"/>
      <c r="AV60" s="32"/>
      <c r="AW60" s="32"/>
      <c r="AX60" s="94" t="s">
        <v>335</v>
      </c>
    </row>
    <row r="61" spans="1:50">
      <c r="A61">
        <v>58</v>
      </c>
      <c r="B61" t="str">
        <f t="shared" si="2"/>
        <v>Mem_chall_Size</v>
      </c>
      <c r="C61" s="1" t="s">
        <v>305</v>
      </c>
      <c r="D61" s="2" t="s">
        <v>306</v>
      </c>
      <c r="E61" s="2"/>
      <c r="F61" s="24" t="s">
        <v>436</v>
      </c>
      <c r="G61" s="64">
        <f t="shared" si="8"/>
        <v>85</v>
      </c>
      <c r="H61" s="64">
        <f t="shared" si="3"/>
        <v>270</v>
      </c>
      <c r="I61" s="21">
        <f t="shared" si="4"/>
        <v>31.937459230215396</v>
      </c>
      <c r="J61" s="21">
        <f t="shared" si="5"/>
        <v>69.285677593368817</v>
      </c>
      <c r="K61" s="21">
        <f t="shared" si="6"/>
        <v>0.12235524346724991</v>
      </c>
      <c r="L61" s="106">
        <f t="shared" si="7"/>
        <v>5.7026889903602239E-2</v>
      </c>
      <c r="M61" s="26">
        <v>85</v>
      </c>
      <c r="N61" s="42">
        <v>28</v>
      </c>
      <c r="O61" s="43">
        <v>73</v>
      </c>
      <c r="P61" s="24"/>
      <c r="Q61" s="24"/>
      <c r="R61" s="24"/>
      <c r="S61" s="24"/>
      <c r="T61" s="26">
        <v>270</v>
      </c>
      <c r="U61" s="42">
        <v>90</v>
      </c>
      <c r="V61" s="43">
        <v>73</v>
      </c>
      <c r="W61" s="24"/>
      <c r="X61" s="24"/>
      <c r="Y61" s="24"/>
      <c r="Z61" s="27"/>
      <c r="AA61" s="28">
        <f>(PI()/4)*M61*N61*O61</f>
        <v>136455.07690867267</v>
      </c>
      <c r="AB61" s="20">
        <f>PI()/2*(M61*N61+N61*O61+M61*O61)</f>
        <v>16695.994157502955</v>
      </c>
      <c r="AC61" s="22">
        <f>AB61/AA61</f>
        <v>0.12235524346724991</v>
      </c>
      <c r="AD61" s="29">
        <f>10^(0.76*LOG(AA61)-0.352)</f>
        <v>3552.9751574329284</v>
      </c>
      <c r="AE61" s="19">
        <v>136455.07690867301</v>
      </c>
      <c r="AF61" s="19">
        <v>16695.994157502999</v>
      </c>
      <c r="AG61" s="22">
        <v>0.12235524346725</v>
      </c>
      <c r="AH61" s="19">
        <v>3552.9751574329298</v>
      </c>
      <c r="AI61" s="28">
        <f>(PI()/4)*T61*U61*V61</f>
        <v>1393217.8020507335</v>
      </c>
      <c r="AJ61" s="20">
        <f>PI()/2*(T61*U61+U61*V61+T61*V61)</f>
        <v>79450.878209285875</v>
      </c>
      <c r="AK61" s="22">
        <f>AJ61/AI61</f>
        <v>5.7026889903602239E-2</v>
      </c>
      <c r="AL61" s="29">
        <f>10^(0.76*LOG(AI61)-0.352)</f>
        <v>20770.858706728486</v>
      </c>
      <c r="AM61" s="28">
        <v>1393217.80205073</v>
      </c>
      <c r="AN61" s="20">
        <v>79450.878209285904</v>
      </c>
      <c r="AO61" s="22">
        <v>5.7026889903602197E-2</v>
      </c>
      <c r="AP61" s="29">
        <v>20770.858706728501</v>
      </c>
      <c r="AQ61" s="30">
        <f>MEDIAN(AD61,AL61)</f>
        <v>12161.916932080709</v>
      </c>
      <c r="AR61" s="31">
        <v>54</v>
      </c>
      <c r="AS61" s="32"/>
      <c r="AT61" s="32"/>
      <c r="AU61" s="32"/>
      <c r="AV61" s="32"/>
      <c r="AW61" s="33"/>
      <c r="AX61" s="34" t="s">
        <v>338</v>
      </c>
    </row>
    <row r="62" spans="1:50">
      <c r="A62">
        <v>59</v>
      </c>
      <c r="B62" t="str">
        <f t="shared" si="2"/>
        <v>Odon_weiss_Size</v>
      </c>
      <c r="C62" s="1" t="s">
        <v>309</v>
      </c>
      <c r="D62" s="6" t="s">
        <v>310</v>
      </c>
      <c r="E62" s="6"/>
      <c r="F62" s="24" t="s">
        <v>436</v>
      </c>
      <c r="G62" s="64">
        <f t="shared" si="8"/>
        <v>60</v>
      </c>
      <c r="H62" s="64">
        <f t="shared" si="3"/>
        <v>84</v>
      </c>
      <c r="I62" s="21">
        <f t="shared" si="4"/>
        <v>23.052965521428867</v>
      </c>
      <c r="J62" s="21">
        <f t="shared" si="5"/>
        <v>44.974800706239819</v>
      </c>
      <c r="K62" s="21">
        <f t="shared" si="6"/>
        <v>0.15454545454545457</v>
      </c>
      <c r="L62" s="106">
        <f t="shared" si="7"/>
        <v>7.6441102756892226E-2</v>
      </c>
      <c r="M62" s="26">
        <v>60</v>
      </c>
      <c r="N62" s="43">
        <v>33</v>
      </c>
      <c r="O62" s="56">
        <v>33</v>
      </c>
      <c r="P62" s="24"/>
      <c r="Q62" s="24"/>
      <c r="R62" s="24"/>
      <c r="S62" s="24"/>
      <c r="T62" s="26">
        <v>84</v>
      </c>
      <c r="U62" s="43">
        <v>76</v>
      </c>
      <c r="V62" s="56">
        <v>76</v>
      </c>
      <c r="W62" s="24"/>
      <c r="X62" s="24"/>
      <c r="Y62" s="24"/>
      <c r="Z62" s="27"/>
      <c r="AA62" s="28">
        <f>(PI()/4)*M62*N62*O62</f>
        <v>51317.915996389267</v>
      </c>
      <c r="AB62" s="20">
        <f>PI()/2*(M62*N62+N62*O62+M62*O62)</f>
        <v>7930.9506539874328</v>
      </c>
      <c r="AC62" s="22">
        <f>AB62/AA62</f>
        <v>0.15454545454545457</v>
      </c>
      <c r="AD62" s="29">
        <f>10^(0.76*LOG(AA62)-0.352)</f>
        <v>1689.6799423861087</v>
      </c>
      <c r="AE62" s="19">
        <v>51317.915996389303</v>
      </c>
      <c r="AF62" s="19">
        <v>7930.9506539874301</v>
      </c>
      <c r="AG62" s="22">
        <v>0.15454545454545501</v>
      </c>
      <c r="AH62" s="19">
        <v>1689.67994238611</v>
      </c>
      <c r="AI62" s="28">
        <f>(PI()/4)*T62*U62*V62</f>
        <v>381062.62250982755</v>
      </c>
      <c r="AJ62" s="20">
        <f>PI()/2*(T62*U62+U62*V62+T62*V62)</f>
        <v>29128.847084084562</v>
      </c>
      <c r="AK62" s="22">
        <f>AJ62/AI62</f>
        <v>7.6441102756892226E-2</v>
      </c>
      <c r="AL62" s="29">
        <f>10^(0.76*LOG(AI62)-0.352)</f>
        <v>7754.5611942358137</v>
      </c>
      <c r="AM62" s="28">
        <v>381062.62250982801</v>
      </c>
      <c r="AN62" s="20">
        <v>29128.847084084598</v>
      </c>
      <c r="AO62" s="22">
        <v>7.6441102756892199E-2</v>
      </c>
      <c r="AP62" s="29">
        <v>7754.56119423581</v>
      </c>
      <c r="AQ62" s="30">
        <f>MEDIAN(AD62,AL62)</f>
        <v>4722.1205683109611</v>
      </c>
      <c r="AR62" s="31">
        <v>6</v>
      </c>
      <c r="AS62" s="32">
        <v>54</v>
      </c>
      <c r="AT62" s="32"/>
      <c r="AU62" s="32"/>
      <c r="AV62" s="32"/>
      <c r="AW62" s="33"/>
      <c r="AX62" s="34" t="s">
        <v>336</v>
      </c>
    </row>
    <row r="63" spans="1:50">
      <c r="A63">
        <v>60</v>
      </c>
      <c r="B63" t="str">
        <f t="shared" si="2"/>
        <v>Stel_micro_Size</v>
      </c>
      <c r="C63" s="1" t="s">
        <v>394</v>
      </c>
      <c r="D63" s="2" t="s">
        <v>395</v>
      </c>
      <c r="F63" s="26" t="s">
        <v>434</v>
      </c>
      <c r="G63" s="64">
        <f t="shared" si="8"/>
        <v>50</v>
      </c>
      <c r="H63" s="64">
        <f t="shared" si="3"/>
        <v>105</v>
      </c>
      <c r="I63" s="21">
        <f t="shared" si="4"/>
        <v>22.714007410401745</v>
      </c>
      <c r="J63" s="21">
        <f t="shared" si="5"/>
        <v>47.54750556628732</v>
      </c>
      <c r="K63" s="21">
        <f t="shared" si="6"/>
        <v>0.16</v>
      </c>
      <c r="L63" s="106">
        <f t="shared" si="7"/>
        <v>7.6556776556776562E-2</v>
      </c>
      <c r="M63" s="26">
        <v>50</v>
      </c>
      <c r="N63" s="24"/>
      <c r="O63" s="105">
        <v>25</v>
      </c>
      <c r="P63" s="24"/>
      <c r="Q63" s="24"/>
      <c r="R63" s="24"/>
      <c r="S63" s="24"/>
      <c r="T63" s="26">
        <v>105</v>
      </c>
      <c r="U63" s="24"/>
      <c r="V63" s="42">
        <v>52</v>
      </c>
      <c r="W63" s="24"/>
      <c r="X63" s="24"/>
      <c r="Y63" s="24"/>
      <c r="Z63" s="27"/>
      <c r="AA63" s="28">
        <f t="shared" ref="AA63" si="9">(PI()/4)*M63^2*O63</f>
        <v>49087.385212340516</v>
      </c>
      <c r="AB63" s="20">
        <f t="shared" ref="AB63" si="10">PI()*M63*((M63/2)+O63)</f>
        <v>7853.981633974483</v>
      </c>
      <c r="AC63" s="22">
        <f t="shared" ref="AC63" si="11">AB63/AA63</f>
        <v>0.16</v>
      </c>
      <c r="AD63" s="29">
        <f t="shared" ref="AD63" si="12">10^(0.76*LOG(AA63)-0.352)</f>
        <v>1633.5676449133007</v>
      </c>
      <c r="AE63" s="19">
        <v>49087.385212340501</v>
      </c>
      <c r="AF63" s="19">
        <v>7853.9816339744802</v>
      </c>
      <c r="AG63" s="22">
        <v>0.16</v>
      </c>
      <c r="AH63" s="19">
        <v>1633.5676449133</v>
      </c>
      <c r="AI63" s="28">
        <f t="shared" ref="AI63" si="13">(PI()/4)*T63^2*V63</f>
        <v>450268.76707575709</v>
      </c>
      <c r="AJ63" s="20">
        <f t="shared" ref="AJ63" si="14">PI()*T63*((T63/2)+V63)</f>
        <v>34471.125391514004</v>
      </c>
      <c r="AK63" s="22">
        <f t="shared" ref="AK63" si="15">AJ63/AI63</f>
        <v>7.6556776556776562E-2</v>
      </c>
      <c r="AL63" s="29">
        <f t="shared" ref="AL63" si="16">10^(0.76*LOG(AI63)-0.352)</f>
        <v>8803.1598019655812</v>
      </c>
      <c r="AM63" s="28">
        <v>450268.76707575697</v>
      </c>
      <c r="AN63" s="20">
        <v>34471.125391513997</v>
      </c>
      <c r="AO63" s="22">
        <v>7.6556776556776604E-2</v>
      </c>
      <c r="AP63" s="29">
        <v>8803.1598019655794</v>
      </c>
      <c r="AQ63" s="30">
        <f t="shared" ref="AQ63" si="17">MEDIAN(AD63,AL63)</f>
        <v>5218.3637234394409</v>
      </c>
      <c r="AR63" s="31">
        <v>10</v>
      </c>
      <c r="AS63" s="33"/>
      <c r="AT63" s="34" t="s">
        <v>353</v>
      </c>
      <c r="AU63" s="35" t="s">
        <v>397</v>
      </c>
    </row>
    <row r="64" spans="1:50">
      <c r="A64">
        <v>61</v>
      </c>
      <c r="B64" t="str">
        <f t="shared" si="2"/>
        <v>Chaet_dich_Size</v>
      </c>
      <c r="C64" s="1" t="s">
        <v>409</v>
      </c>
      <c r="D64" s="2" t="s">
        <v>77</v>
      </c>
      <c r="E64" s="2"/>
      <c r="F64" s="24" t="s">
        <v>436</v>
      </c>
      <c r="G64" s="64">
        <f t="shared" ref="G64:G69" si="18">MAX($M64:$S64)</f>
        <v>14</v>
      </c>
      <c r="H64" s="64">
        <f t="shared" si="3"/>
        <v>45</v>
      </c>
      <c r="I64" s="21">
        <f t="shared" si="4"/>
        <v>4.5123119628625421</v>
      </c>
      <c r="J64" s="21">
        <f t="shared" si="5"/>
        <v>17.284430287666307</v>
      </c>
      <c r="K64" s="21">
        <f t="shared" ref="K64:K69" si="19">AC64</f>
        <v>0.82857142857142851</v>
      </c>
      <c r="L64" s="106">
        <f t="shared" ref="L64:L69" si="20">AK64</f>
        <v>0.21437908496732025</v>
      </c>
      <c r="M64" s="26">
        <v>7</v>
      </c>
      <c r="N64" s="43">
        <v>14</v>
      </c>
      <c r="O64" s="42">
        <v>5</v>
      </c>
      <c r="P64" s="24"/>
      <c r="Q64" s="24"/>
      <c r="R64" s="24"/>
      <c r="S64" s="24"/>
      <c r="T64" s="26">
        <v>45</v>
      </c>
      <c r="U64" s="43">
        <v>18</v>
      </c>
      <c r="V64" s="42">
        <v>34</v>
      </c>
      <c r="W64" s="24"/>
      <c r="X64" s="24"/>
      <c r="Y64" s="24"/>
      <c r="Z64" s="27"/>
      <c r="AA64" s="28">
        <f t="shared" ref="AA64:AA65" si="21">(PI()/4)*M64*N64*O64</f>
        <v>384.84510006474966</v>
      </c>
      <c r="AB64" s="20">
        <f t="shared" ref="AB64:AB65" si="22">PI()/2*(M64*N64+N64*O64+M64*O64)</f>
        <v>318.871654339364</v>
      </c>
      <c r="AC64" s="22">
        <f t="shared" ref="AC64:AC65" si="23">AB64/AA64</f>
        <v>0.82857142857142851</v>
      </c>
      <c r="AD64" s="29">
        <f t="shared" ref="AD64:AD65" si="24">10^(0.76*LOG(AA64)-0.352)</f>
        <v>41.003160262215964</v>
      </c>
      <c r="AE64" s="19">
        <v>384.84510006475</v>
      </c>
      <c r="AF64" s="19">
        <v>318.871654339364</v>
      </c>
      <c r="AG64" s="22">
        <v>0.82857142857142896</v>
      </c>
      <c r="AH64" s="19">
        <v>41.003160262215999</v>
      </c>
      <c r="AI64" s="28">
        <f t="shared" ref="AI64:AI65" si="25">(PI()/4)*T64*U64*V64</f>
        <v>21629.865419965729</v>
      </c>
      <c r="AJ64" s="20">
        <f t="shared" ref="AJ64:AJ65" si="26">PI()/2*(T64*U64+U64*V64+T64*V64)</f>
        <v>4636.9907566985348</v>
      </c>
      <c r="AK64" s="22">
        <f t="shared" ref="AK64:AK65" si="27">AJ64/AI64</f>
        <v>0.21437908496732025</v>
      </c>
      <c r="AL64" s="29">
        <f t="shared" ref="AL64:AL65" si="28">10^(0.76*LOG(AI64)-0.352)</f>
        <v>876.27596774379674</v>
      </c>
      <c r="AM64" s="28">
        <v>21629.865419965699</v>
      </c>
      <c r="AN64" s="20">
        <v>4636.9907566985303</v>
      </c>
      <c r="AO64" s="22">
        <v>0.21437908496732</v>
      </c>
      <c r="AP64" s="29">
        <v>876.27596774379697</v>
      </c>
      <c r="AQ64" s="30">
        <f t="shared" ref="AQ64:AQ65" si="29">MEDIAN(AD64,AL64)</f>
        <v>458.63956400300634</v>
      </c>
      <c r="AR64" s="31">
        <v>54</v>
      </c>
    </row>
    <row r="65" spans="1:45">
      <c r="A65">
        <v>62</v>
      </c>
      <c r="B65" t="str">
        <f t="shared" si="2"/>
        <v>Chaet_peru_Size</v>
      </c>
      <c r="C65" s="1" t="s">
        <v>410</v>
      </c>
      <c r="D65" s="2" t="s">
        <v>67</v>
      </c>
      <c r="F65" s="24" t="s">
        <v>436</v>
      </c>
      <c r="G65" s="64">
        <f t="shared" si="18"/>
        <v>30</v>
      </c>
      <c r="H65" s="64">
        <f t="shared" si="3"/>
        <v>32</v>
      </c>
      <c r="I65" s="21">
        <f t="shared" si="4"/>
        <v>7.1506462649580751</v>
      </c>
      <c r="J65" s="21">
        <f t="shared" si="5"/>
        <v>15.577482305553305</v>
      </c>
      <c r="K65" s="21">
        <f t="shared" si="19"/>
        <v>0.57435897435897432</v>
      </c>
      <c r="L65" s="106">
        <f t="shared" si="20"/>
        <v>0.22440476190476191</v>
      </c>
      <c r="M65" s="26">
        <v>10</v>
      </c>
      <c r="N65" s="24">
        <v>30</v>
      </c>
      <c r="O65" s="42">
        <v>6.5</v>
      </c>
      <c r="P65" s="24"/>
      <c r="Q65" s="24"/>
      <c r="R65" s="24"/>
      <c r="S65" s="24"/>
      <c r="T65" s="26">
        <v>32</v>
      </c>
      <c r="U65" s="24">
        <v>30</v>
      </c>
      <c r="V65" s="42">
        <v>21</v>
      </c>
      <c r="W65" s="24"/>
      <c r="X65" s="24"/>
      <c r="Y65" s="24"/>
      <c r="Z65" s="27"/>
      <c r="AA65" s="28">
        <f t="shared" si="21"/>
        <v>1531.5264186250242</v>
      </c>
      <c r="AB65" s="20">
        <f t="shared" si="22"/>
        <v>879.64594300514204</v>
      </c>
      <c r="AC65" s="22">
        <f t="shared" si="23"/>
        <v>0.57435897435897432</v>
      </c>
      <c r="AD65" s="29">
        <f t="shared" si="24"/>
        <v>117.13713954439581</v>
      </c>
      <c r="AE65" s="19">
        <v>1531.5264186250199</v>
      </c>
      <c r="AF65" s="19">
        <v>879.64594300514204</v>
      </c>
      <c r="AG65" s="22">
        <v>0.57435897435897398</v>
      </c>
      <c r="AH65" s="19">
        <v>117.13713954439601</v>
      </c>
      <c r="AI65" s="28">
        <f t="shared" si="25"/>
        <v>15833.626974092556</v>
      </c>
      <c r="AJ65" s="20">
        <f t="shared" si="26"/>
        <v>3553.1412912100559</v>
      </c>
      <c r="AK65" s="22">
        <f t="shared" si="27"/>
        <v>0.22440476190476191</v>
      </c>
      <c r="AL65" s="29">
        <f t="shared" si="28"/>
        <v>691.32316721314271</v>
      </c>
      <c r="AM65" s="28">
        <v>15833.6269740926</v>
      </c>
      <c r="AN65" s="20">
        <v>3553.14129121006</v>
      </c>
      <c r="AO65" s="22">
        <v>0.224404761904762</v>
      </c>
      <c r="AP65" s="29">
        <v>691.32316721314305</v>
      </c>
      <c r="AQ65" s="30">
        <f t="shared" si="29"/>
        <v>404.23015337876927</v>
      </c>
      <c r="AR65" s="31">
        <v>54</v>
      </c>
    </row>
    <row r="66" spans="1:45">
      <c r="A66">
        <v>63</v>
      </c>
      <c r="B66" t="str">
        <f t="shared" si="2"/>
        <v>Chaet_deb_Size</v>
      </c>
      <c r="C66" s="1" t="s">
        <v>411</v>
      </c>
      <c r="D66" s="2" t="s">
        <v>76</v>
      </c>
      <c r="F66" s="24" t="s">
        <v>436</v>
      </c>
      <c r="G66" s="64">
        <f t="shared" si="18"/>
        <v>8</v>
      </c>
      <c r="H66" s="64">
        <f t="shared" si="3"/>
        <v>40</v>
      </c>
      <c r="I66" s="21">
        <f t="shared" si="4"/>
        <v>3.5568933044900626</v>
      </c>
      <c r="J66" s="21">
        <f t="shared" si="5"/>
        <v>15.536162529769292</v>
      </c>
      <c r="K66" s="21">
        <f t="shared" si="19"/>
        <v>0.98333333333333339</v>
      </c>
      <c r="L66" s="106">
        <f t="shared" si="20"/>
        <v>0.23</v>
      </c>
      <c r="M66" s="31">
        <v>8</v>
      </c>
      <c r="N66" s="32">
        <v>5</v>
      </c>
      <c r="O66" s="32">
        <v>6</v>
      </c>
      <c r="P66" s="32"/>
      <c r="Q66" s="32"/>
      <c r="R66" s="32"/>
      <c r="S66" s="32"/>
      <c r="T66" s="31">
        <v>40</v>
      </c>
      <c r="U66" s="32">
        <v>25</v>
      </c>
      <c r="V66" s="32">
        <v>20</v>
      </c>
      <c r="W66" s="32"/>
      <c r="X66" s="32"/>
      <c r="Y66" s="32"/>
      <c r="Z66" s="33"/>
      <c r="AA66" s="28">
        <f t="shared" ref="AA66" si="30">(PI()/4)*M66*N66*O66</f>
        <v>188.49555921538757</v>
      </c>
      <c r="AB66" s="20">
        <f t="shared" ref="AB66" si="31">PI()/2*(M66*N66+N66*O66+M66*O66)</f>
        <v>185.35396656179779</v>
      </c>
      <c r="AC66" s="22">
        <f t="shared" ref="AC66:AC67" si="32">AB66/AA66</f>
        <v>0.98333333333333339</v>
      </c>
      <c r="AD66" s="29">
        <f t="shared" ref="AD66:AD67" si="33">10^(0.76*LOG(AA66)-0.352)</f>
        <v>23.835751747343533</v>
      </c>
      <c r="AE66" s="19">
        <v>188.495559215388</v>
      </c>
      <c r="AF66" s="19">
        <v>185.35396656179799</v>
      </c>
      <c r="AG66" s="22">
        <v>0.98333333333333295</v>
      </c>
      <c r="AH66" s="19">
        <v>23.835751747343501</v>
      </c>
      <c r="AI66" s="28">
        <f t="shared" ref="AI66" si="34">(PI()/4)*T66*U66*V66</f>
        <v>15707.963267948964</v>
      </c>
      <c r="AJ66" s="20">
        <f t="shared" ref="AJ66" si="35">PI()/2*(T66*U66+U66*V66+T66*V66)</f>
        <v>3612.8315516282619</v>
      </c>
      <c r="AK66" s="22">
        <f t="shared" ref="AK66:AK67" si="36">AJ66/AI66</f>
        <v>0.23</v>
      </c>
      <c r="AL66" s="29">
        <f t="shared" ref="AL66:AL67" si="37">10^(0.76*LOG(AI66)-0.352)</f>
        <v>687.14929703706014</v>
      </c>
      <c r="AM66" s="28">
        <v>15707.963267949001</v>
      </c>
      <c r="AN66" s="20">
        <v>3612.8315516282601</v>
      </c>
      <c r="AO66" s="22">
        <v>0.23</v>
      </c>
      <c r="AP66" s="29">
        <v>687.14929703706002</v>
      </c>
      <c r="AQ66" s="30">
        <f t="shared" ref="AQ66:AQ67" si="38">MEDIAN(AD66,AL66)</f>
        <v>355.4925243922018</v>
      </c>
      <c r="AR66" s="31">
        <v>24</v>
      </c>
    </row>
    <row r="67" spans="1:45">
      <c r="A67">
        <v>64</v>
      </c>
      <c r="B67" t="str">
        <f t="shared" si="2"/>
        <v>Astero_hya_Size</v>
      </c>
      <c r="C67" s="1" t="s">
        <v>412</v>
      </c>
      <c r="D67" s="2" t="s">
        <v>406</v>
      </c>
      <c r="F67" s="26" t="s">
        <v>434</v>
      </c>
      <c r="G67" s="64">
        <f t="shared" si="18"/>
        <v>15</v>
      </c>
      <c r="H67" s="64">
        <f t="shared" si="3"/>
        <v>32</v>
      </c>
      <c r="I67" s="21">
        <f t="shared" si="4"/>
        <v>5.9527539448807474</v>
      </c>
      <c r="J67" s="21">
        <f t="shared" si="5"/>
        <v>12.699208415745604</v>
      </c>
      <c r="K67" s="21">
        <f t="shared" si="19"/>
        <v>0.66666666666666674</v>
      </c>
      <c r="L67" s="106">
        <f t="shared" si="20"/>
        <v>0.31249999999999939</v>
      </c>
      <c r="M67" s="26">
        <v>15</v>
      </c>
      <c r="N67" s="24"/>
      <c r="O67" s="40">
        <v>5</v>
      </c>
      <c r="P67" s="41"/>
      <c r="Q67" s="24"/>
      <c r="R67" s="24"/>
      <c r="S67" s="24"/>
      <c r="T67" s="26">
        <v>32</v>
      </c>
      <c r="U67" s="24"/>
      <c r="V67" s="40">
        <v>10.6666666666667</v>
      </c>
      <c r="W67" s="24"/>
      <c r="X67" s="24"/>
      <c r="Y67" s="24"/>
      <c r="Z67" s="27"/>
      <c r="AA67" s="28">
        <f t="shared" ref="AA67" si="39">(PI()/4)*M67^2*O67</f>
        <v>883.57293382212924</v>
      </c>
      <c r="AB67" s="20">
        <f t="shared" ref="AB67" si="40">PI()*M67*((M67/2)+O67)</f>
        <v>589.0486225480862</v>
      </c>
      <c r="AC67" s="22">
        <f t="shared" si="32"/>
        <v>0.66666666666666674</v>
      </c>
      <c r="AD67" s="29">
        <f t="shared" si="33"/>
        <v>77.115952454035138</v>
      </c>
      <c r="AE67" s="19">
        <v>883.57293382212902</v>
      </c>
      <c r="AF67" s="19">
        <v>589.04862254808597</v>
      </c>
      <c r="AG67" s="22">
        <v>0.66666666666666696</v>
      </c>
      <c r="AH67" s="19">
        <v>77.115952454035096</v>
      </c>
      <c r="AI67" s="28">
        <f t="shared" ref="AI67" si="41">(PI()/4)*T67^2*V67</f>
        <v>8578.6423394025551</v>
      </c>
      <c r="AJ67" s="20">
        <f t="shared" ref="AJ67" si="42">PI()*T67*((T67/2)+V67)</f>
        <v>2680.8257310632935</v>
      </c>
      <c r="AK67" s="22">
        <f t="shared" si="36"/>
        <v>0.31249999999999939</v>
      </c>
      <c r="AL67" s="29">
        <f t="shared" si="37"/>
        <v>433.90844909233226</v>
      </c>
      <c r="AM67" s="28">
        <v>8578.6423394025296</v>
      </c>
      <c r="AN67" s="20">
        <v>2680.8257310632898</v>
      </c>
      <c r="AO67" s="22">
        <v>0.3125</v>
      </c>
      <c r="AP67" s="29">
        <v>433.90844909233198</v>
      </c>
      <c r="AQ67" s="30">
        <f t="shared" si="38"/>
        <v>255.51220077318368</v>
      </c>
      <c r="AR67" s="31">
        <v>54</v>
      </c>
    </row>
    <row r="68" spans="1:45">
      <c r="A68">
        <v>65</v>
      </c>
      <c r="B68" t="str">
        <f t="shared" si="2"/>
        <v>Emil_hux_Size</v>
      </c>
      <c r="C68" s="1" t="s">
        <v>41</v>
      </c>
      <c r="D68" s="2" t="s">
        <v>407</v>
      </c>
      <c r="F68" s="26" t="s">
        <v>433</v>
      </c>
      <c r="G68" s="64">
        <f t="shared" si="18"/>
        <v>0</v>
      </c>
      <c r="H68" s="64">
        <f t="shared" si="3"/>
        <v>0</v>
      </c>
      <c r="I68" s="21">
        <v>2.5</v>
      </c>
      <c r="J68" s="21">
        <v>5</v>
      </c>
      <c r="K68" s="21">
        <f t="shared" si="19"/>
        <v>0</v>
      </c>
      <c r="L68" s="106">
        <f t="shared" si="20"/>
        <v>0</v>
      </c>
      <c r="O68" s="3"/>
      <c r="P68" s="104"/>
      <c r="Q68" s="3"/>
    </row>
    <row r="69" spans="1:45">
      <c r="A69">
        <v>66</v>
      </c>
      <c r="B69" t="str">
        <f t="shared" ref="B69" si="43">CONCATENATE(C69,"_Size")</f>
        <v>Has_trom_Size</v>
      </c>
      <c r="C69" s="1" t="s">
        <v>413</v>
      </c>
      <c r="D69" s="2" t="s">
        <v>408</v>
      </c>
      <c r="F69" s="24" t="s">
        <v>436</v>
      </c>
      <c r="G69" s="64">
        <f t="shared" si="18"/>
        <v>70</v>
      </c>
      <c r="H69" s="64">
        <f t="shared" ref="H69" si="44">MAX($T69:$Z69)</f>
        <v>160</v>
      </c>
      <c r="I69" s="21">
        <f t="shared" ref="I69" si="45">((3*$AA69)/(4*PI()))^(1/3)</f>
        <v>14.452480187935951</v>
      </c>
      <c r="J69" s="21">
        <f t="shared" ref="J69" si="46">((3*$AI69)/(4*PI()))^(1/3)</f>
        <v>21.297356898332879</v>
      </c>
      <c r="K69" s="21">
        <f t="shared" si="19"/>
        <v>0.31552795031055902</v>
      </c>
      <c r="L69" s="106">
        <f t="shared" si="20"/>
        <v>0.24231366459627329</v>
      </c>
      <c r="M69" s="26">
        <v>70</v>
      </c>
      <c r="N69" s="24">
        <v>10</v>
      </c>
      <c r="O69" s="43">
        <v>23</v>
      </c>
      <c r="P69" s="24"/>
      <c r="Q69" s="24"/>
      <c r="R69" s="24"/>
      <c r="S69" s="24"/>
      <c r="T69" s="26">
        <v>160</v>
      </c>
      <c r="U69" s="24">
        <v>14</v>
      </c>
      <c r="V69" s="43">
        <v>23</v>
      </c>
      <c r="W69" s="24"/>
      <c r="X69" s="24"/>
      <c r="Y69" s="24"/>
      <c r="Z69" s="27"/>
      <c r="AA69" s="28">
        <f t="shared" ref="AA69" si="47">(PI()/4)*M69*N69*O69</f>
        <v>12644.910430698916</v>
      </c>
      <c r="AB69" s="20">
        <f t="shared" ref="AB69" si="48">PI()/2*(M69*N69+N69*O69+M69*O69)</f>
        <v>3989.8226700590371</v>
      </c>
      <c r="AC69" s="22">
        <f t="shared" ref="AC69" si="49">AB69/AA69</f>
        <v>0.31552795031055902</v>
      </c>
      <c r="AD69" s="29">
        <f t="shared" ref="AD69" si="50">10^(0.76*LOG(AA69)-0.352)</f>
        <v>582.7147020855964</v>
      </c>
      <c r="AE69" s="19">
        <v>12644.910430698899</v>
      </c>
      <c r="AF69" s="19">
        <v>3989.8226700590399</v>
      </c>
      <c r="AG69" s="22">
        <v>0.31552795031055902</v>
      </c>
      <c r="AH69" s="19">
        <v>582.71470208559595</v>
      </c>
      <c r="AI69" s="28">
        <f t="shared" ref="AI69" si="51">(PI()/4)*T69*U69*V69</f>
        <v>40463.713378236534</v>
      </c>
      <c r="AJ69" s="20">
        <f t="shared" ref="AJ69" si="52">PI()/2*(T69*U69+U69*V69+T69*V69)</f>
        <v>9804.9106718537441</v>
      </c>
      <c r="AK69" s="22">
        <f t="shared" ref="AK69" si="53">AJ69/AI69</f>
        <v>0.24231366459627329</v>
      </c>
      <c r="AL69" s="29">
        <f t="shared" ref="AL69" si="54">10^(0.76*LOG(AI69)-0.352)</f>
        <v>1410.4898300635732</v>
      </c>
      <c r="AM69" s="28">
        <v>40463.713378236498</v>
      </c>
      <c r="AN69" s="20">
        <v>9804.9106718537405</v>
      </c>
      <c r="AO69" s="22">
        <v>0.24231366459627299</v>
      </c>
      <c r="AP69" s="29">
        <v>1410.48983006357</v>
      </c>
      <c r="AQ69" s="30">
        <f t="shared" ref="AQ69" si="55">MEDIAN(AD69,AL69)</f>
        <v>996.6022660745848</v>
      </c>
      <c r="AR69" s="31">
        <v>54</v>
      </c>
      <c r="AS69" s="35" t="s">
        <v>425</v>
      </c>
    </row>
  </sheetData>
  <sortState xmlns:xlrd2="http://schemas.microsoft.com/office/spreadsheetml/2017/richdata2" ref="A4:AY62">
    <sortCondition ref="A4:A62"/>
  </sortState>
  <mergeCells count="7">
    <mergeCell ref="AR2:AW2"/>
    <mergeCell ref="M2:S2"/>
    <mergeCell ref="T2:Z2"/>
    <mergeCell ref="AA2:AC2"/>
    <mergeCell ref="AE2:AG2"/>
    <mergeCell ref="AI2:AK2"/>
    <mergeCell ref="AM2:AO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References</vt:lpstr>
      <vt:lpstr>SpeciesTraits</vt:lpstr>
      <vt:lpstr>Species</vt:lpstr>
      <vt:lpstr>Spikes</vt:lpstr>
      <vt:lpstr>Spore_forming</vt:lpstr>
      <vt:lpstr>Robust</vt:lpstr>
      <vt:lpstr>Chain_forming</vt:lpstr>
      <vt:lpstr>Stickiness</vt:lpstr>
      <vt:lpstr>Size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Kirralee Baker</dc:creator>
  <cp:lastModifiedBy>Kirralee Baker</cp:lastModifiedBy>
  <dcterms:created xsi:type="dcterms:W3CDTF">2021-10-25T04:32:14Z</dcterms:created>
  <dcterms:modified xsi:type="dcterms:W3CDTF">2024-01-08T20:42:01Z</dcterms:modified>
</cp:coreProperties>
</file>